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_umz\Обмен\охрана 2025\"/>
    </mc:Choice>
  </mc:AlternateContent>
  <bookViews>
    <workbookView xWindow="0" yWindow="0" windowWidth="28800" windowHeight="12285"/>
  </bookViews>
  <sheets>
    <sheet name="31 день_24 часа" sheetId="1" r:id="rId1"/>
    <sheet name="31 день_12 часов" sheetId="4" r:id="rId2"/>
    <sheet name="31 день_8 часов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5" l="1"/>
  <c r="F21" i="5" l="1"/>
  <c r="F21" i="1"/>
  <c r="F19" i="1"/>
  <c r="F11" i="1" l="1"/>
  <c r="F19" i="5" l="1"/>
  <c r="F15" i="5"/>
  <c r="F28" i="5" l="1"/>
  <c r="F48" i="5"/>
  <c r="F38" i="5"/>
  <c r="F32" i="5"/>
  <c r="F22" i="5"/>
  <c r="F11" i="5"/>
  <c r="F15" i="4"/>
  <c r="F48" i="4"/>
  <c r="F38" i="4"/>
  <c r="F32" i="4"/>
  <c r="F28" i="4"/>
  <c r="F27" i="4"/>
  <c r="F22" i="4"/>
  <c r="F11" i="4"/>
  <c r="F22" i="1"/>
  <c r="F21" i="4" l="1"/>
  <c r="F19" i="4"/>
  <c r="F27" i="5"/>
  <c r="F23" i="5"/>
  <c r="F24" i="5" s="1"/>
  <c r="F25" i="5" l="1"/>
  <c r="F12" i="5" s="1"/>
  <c r="F23" i="4"/>
  <c r="F13" i="5" l="1"/>
  <c r="F24" i="4"/>
  <c r="F25" i="4" s="1"/>
  <c r="F12" i="4" l="1"/>
  <c r="F14" i="5"/>
  <c r="F52" i="5" s="1"/>
  <c r="F53" i="5" s="1"/>
  <c r="F55" i="5" s="1"/>
  <c r="F56" i="5" s="1"/>
  <c r="F57" i="5" s="1"/>
  <c r="F58" i="5" s="1"/>
  <c r="F13" i="4" l="1"/>
  <c r="F14" i="4" l="1"/>
  <c r="F52" i="4" s="1"/>
  <c r="F53" i="4" l="1"/>
  <c r="F55" i="4" s="1"/>
  <c r="F56" i="4" s="1"/>
  <c r="F57" i="4" l="1"/>
  <c r="F58" i="4" s="1"/>
  <c r="F32" i="1"/>
  <c r="F15" i="1" l="1"/>
  <c r="F23" i="1" l="1"/>
  <c r="F28" i="1"/>
  <c r="F27" i="1" s="1"/>
  <c r="F24" i="1" l="1"/>
  <c r="F25" i="1" l="1"/>
  <c r="F12" i="1" l="1"/>
  <c r="F13" i="1" l="1"/>
  <c r="F14" i="1" s="1"/>
  <c r="F52" i="1" s="1"/>
  <c r="F48" i="1"/>
  <c r="F38" i="1"/>
  <c r="F53" i="1" l="1"/>
  <c r="F55" i="1" s="1"/>
  <c r="F56" i="1" s="1"/>
  <c r="F57" i="1" s="1"/>
  <c r="F58" i="1" s="1"/>
</calcChain>
</file>

<file path=xl/comments1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Чуйкова Елена Владимировна</author>
  </authors>
  <commentLis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ночные смены!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  <charset val="204"/>
          </rPr>
          <t>применяется, если есть смены в праздничные дни!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<sst xmlns="http://schemas.openxmlformats.org/spreadsheetml/2006/main" count="399" uniqueCount="123">
  <si>
    <t>№ п/п</t>
  </si>
  <si>
    <t>Наименование показателя</t>
  </si>
  <si>
    <t>Обозн.
показ.</t>
  </si>
  <si>
    <t>Ед.изм.</t>
  </si>
  <si>
    <t>Примечание</t>
  </si>
  <si>
    <t>Си</t>
  </si>
  <si>
    <t>руб.</t>
  </si>
  <si>
    <t>БЗП</t>
  </si>
  <si>
    <t>руб./час</t>
  </si>
  <si>
    <t>Базовая заработная плата работника
БЗП = МРОТ / СНР</t>
  </si>
  <si>
    <t>МРОТ</t>
  </si>
  <si>
    <t>минимальный размер оплаты труда</t>
  </si>
  <si>
    <t>среднемесячное количество раб.часов 1 работника поста охраны</t>
  </si>
  <si>
    <t>СНР</t>
  </si>
  <si>
    <t>час.</t>
  </si>
  <si>
    <t>по производственному календарю (для 40-часовой пятидневной раб.недели)</t>
  </si>
  <si>
    <t>доплата за работу в ночное время</t>
  </si>
  <si>
    <t>Дн</t>
  </si>
  <si>
    <t>%</t>
  </si>
  <si>
    <t>доплата за работу в выходные и праздничные дни</t>
  </si>
  <si>
    <t>Двп</t>
  </si>
  <si>
    <t>ст.153 ТК РФ</t>
  </si>
  <si>
    <t>Дрк</t>
  </si>
  <si>
    <t>РО</t>
  </si>
  <si>
    <t>Резерв на отпуск
РО = (БПЗ + Дн + Двп + Дрк) / 12</t>
  </si>
  <si>
    <t>Страховые взносы
СВ = (БПЗ+Дн+Двп+Дрк+РО)*Y</t>
  </si>
  <si>
    <t>ставка страховых взносов</t>
  </si>
  <si>
    <t>Y</t>
  </si>
  <si>
    <t>Корректирующий коэффициент
U= Uб+Uд1+Uд2+Uд3+Uд4+Uд5</t>
  </si>
  <si>
    <t xml:space="preserve"> базовый коэффициент</t>
  </si>
  <si>
    <t>U</t>
  </si>
  <si>
    <t>Uб</t>
  </si>
  <si>
    <t>Пост охраны в составе 1 работника с режимом работы 24 часа</t>
  </si>
  <si>
    <t>Пост охраны в составе 1 работника с режимом работы 12 часов</t>
  </si>
  <si>
    <t>Пост охраны в составе 1 работника с режимом работы, отличным от 24 и 12 часов. Не более 24 часов, не менее 3 часов
Uб = 2 - 0,0417 * Количество часов работы поста</t>
  </si>
  <si>
    <t>Ки</t>
  </si>
  <si>
    <t>Наличие спецсредств у работника</t>
  </si>
  <si>
    <t>Наличие служебного оружия у работника</t>
  </si>
  <si>
    <t>Обеспечение порядка в местах проведения массовых мероприятий</t>
  </si>
  <si>
    <t>Охрана объектов и (или) имущества, а также обеспечение внутриобъектового и пропускного режимов на объектах, в отношении которых установлены обязательные для выполнения требования к антитеррористической защищенности</t>
  </si>
  <si>
    <t>Наличие допуска к государственной тайне работника и режимно-секретного подразделения</t>
  </si>
  <si>
    <t>Uд1</t>
  </si>
  <si>
    <t>Uд2</t>
  </si>
  <si>
    <t>Uд3</t>
  </si>
  <si>
    <t>Uд4</t>
  </si>
  <si>
    <t>Uд5</t>
  </si>
  <si>
    <t>доля</t>
  </si>
  <si>
    <r>
      <t xml:space="preserve">Косвенные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КР = (Си х Ки) х 0,2</t>
    </r>
  </si>
  <si>
    <t>КР</t>
  </si>
  <si>
    <r>
      <t xml:space="preserve">Прямые затраты на часовую работу поста охраны в составе 1 работника
</t>
    </r>
    <r>
      <rPr>
        <sz val="9"/>
        <color theme="1"/>
        <rFont val="Times New Roman"/>
        <family val="1"/>
        <charset val="204"/>
      </rPr>
      <t>Си = (БЗП + Дн + Двп + Дрк + РО + СВ) х U</t>
    </r>
  </si>
  <si>
    <t>Прибыль П = ((Си х Ки) + КР) * 0,05</t>
  </si>
  <si>
    <t>П</t>
  </si>
  <si>
    <t>Устанавливаются в размере 20% от общей суммы всех прямых затрат</t>
  </si>
  <si>
    <t>Принимается равной 5%</t>
  </si>
  <si>
    <t>Стсо</t>
  </si>
  <si>
    <t>СР</t>
  </si>
  <si>
    <t>услуги по реагированию (без учета НДС)</t>
  </si>
  <si>
    <t xml:space="preserve">КР </t>
  </si>
  <si>
    <t>объем оказания услуг по реагированию, предусмотренный контрактом</t>
  </si>
  <si>
    <t>СП</t>
  </si>
  <si>
    <t>работы по проектированию (без учета НДС)</t>
  </si>
  <si>
    <t>КП</t>
  </si>
  <si>
    <t>объем выполнения работ по проектированию, предусмотренный контрактом</t>
  </si>
  <si>
    <t>услуги по эксплуатационному обслуживанию (без учета НДС)</t>
  </si>
  <si>
    <t>СЭО</t>
  </si>
  <si>
    <t>объем оказания услуг по эксплуатационному обслуживанию, предусмотренный контрактом</t>
  </si>
  <si>
    <t>КЭО</t>
  </si>
  <si>
    <t>работы по монтажу (без учета НДС)</t>
  </si>
  <si>
    <t>СМ</t>
  </si>
  <si>
    <t>объем выполнения работ по монтажу, предусмотренный контрактом</t>
  </si>
  <si>
    <t>КМ</t>
  </si>
  <si>
    <t>СО</t>
  </si>
  <si>
    <t>цена оборуд-я тех.средств охраны, поставляемого заказчику (без учета НДС)</t>
  </si>
  <si>
    <t>Стоимость выполнения работ по проектированию, монтажу и эксплуатационному обслуживанию технических средств охраны, перечень видов которых устанавливается Правительством РФ и (или) принятие соответствующих мер реагирования на их сигнальную информацию Стсо = СР * КР + СП * КП + СЭО * КЭО + СМ * КМ + СО</t>
  </si>
  <si>
    <t>Сзж</t>
  </si>
  <si>
    <t>Стоимость оказания услуги по защите жизни и здоровья граждан
Сзж = Сеу * Кзж</t>
  </si>
  <si>
    <t>Сеу</t>
  </si>
  <si>
    <t>Кзж</t>
  </si>
  <si>
    <t>услуги по защите жизни и здоровья граждан (без учета НДС)</t>
  </si>
  <si>
    <t>объем оказания услуг по защите жизни и здоровья граждан</t>
  </si>
  <si>
    <t>индекс потребительских цен на прочие услуги</t>
  </si>
  <si>
    <t>Iинфл</t>
  </si>
  <si>
    <t>если расчет НМЦК и начало срока действия контракта приходятся на 1 год, то значение принимается равным 1</t>
  </si>
  <si>
    <t>НДС</t>
  </si>
  <si>
    <t>Налог на добавленную стоимость 20%
НДС = (КР+(Си*Ки)+П)*0,2</t>
  </si>
  <si>
    <r>
      <t xml:space="preserve">Начальная (максимальная) цена работы 1 поста охраны
</t>
    </r>
    <r>
      <rPr>
        <b/>
        <sz val="9"/>
        <color theme="1"/>
        <rFont val="Times New Roman"/>
        <family val="1"/>
        <charset val="204"/>
      </rPr>
      <t>НМЦК = (Си х Ки) + КР + П + Стсо + Сзж) х Iинфл + НДС</t>
    </r>
  </si>
  <si>
    <t>Начальная (максимальная) цена контракта</t>
  </si>
  <si>
    <t>Дополнительные коэффициенты</t>
  </si>
  <si>
    <t>пример</t>
  </si>
  <si>
    <t>Количество чел/час в смену:</t>
  </si>
  <si>
    <t>0,05*</t>
  </si>
  <si>
    <t>0,2*</t>
  </si>
  <si>
    <t>0,3*</t>
  </si>
  <si>
    <t>0,1*</t>
  </si>
  <si>
    <r>
      <rPr>
        <b/>
        <sz val="10"/>
        <color rgb="FFFF0000"/>
        <rFont val="Times New Roman"/>
        <family val="1"/>
        <charset val="204"/>
      </rPr>
      <t>*</t>
    </r>
    <r>
      <rPr>
        <sz val="8"/>
        <color theme="1"/>
        <rFont val="Times New Roman"/>
        <family val="1"/>
        <charset val="204"/>
      </rPr>
      <t xml:space="preserve"> </t>
    </r>
    <r>
      <rPr>
        <b/>
        <sz val="8"/>
        <color rgb="FFFF0000"/>
        <rFont val="Times New Roman"/>
        <family val="1"/>
        <charset val="204"/>
      </rPr>
      <t>применяется в соответствии с ТЗ,</t>
    </r>
    <r>
      <rPr>
        <sz val="8"/>
        <color theme="1"/>
        <rFont val="Times New Roman"/>
        <family val="1"/>
        <charset val="204"/>
      </rPr>
      <t xml:space="preserve"> суммарное значение дополнительных коэффициентов </t>
    </r>
    <r>
      <rPr>
        <b/>
        <sz val="8"/>
        <color rgb="FFFF0000"/>
        <rFont val="Times New Roman"/>
        <family val="1"/>
        <charset val="204"/>
      </rPr>
      <t>не может превышать 0,35</t>
    </r>
  </si>
  <si>
    <t xml:space="preserve">Количество постов </t>
  </si>
  <si>
    <t>не может превышать 0,35</t>
  </si>
  <si>
    <t>1*</t>
  </si>
  <si>
    <t>1,5*</t>
  </si>
  <si>
    <t>расчет*</t>
  </si>
  <si>
    <t>*установить базовый  коэффициент в соответствии с режимом охраны, если в примере соответствует вашему, ничего не менять в данном разделе</t>
  </si>
  <si>
    <t>указать количество постов на объекте</t>
  </si>
  <si>
    <t>Определение начальной (максимальной) цены контракта на основании
Порядка, утвержденного приказом Федеральной службы войск национальной гвардии Российской Федерации от 15.02.2021 №45</t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</si>
  <si>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составит</t>
    </r>
  </si>
  <si>
    <r>
      <rPr>
        <b/>
        <u/>
        <sz val="11"/>
        <color rgb="FFFF0000"/>
        <rFont val="Times New Roman"/>
        <family val="1"/>
        <charset val="204"/>
      </rPr>
      <t>С</t>
    </r>
    <r>
      <rPr>
        <b/>
        <sz val="11"/>
        <color rgb="FFFF0000"/>
        <rFont val="Times New Roman"/>
        <family val="1"/>
        <charset val="204"/>
      </rPr>
      <t>тоимость 1 часа охраны с учетом округления</t>
    </r>
  </si>
  <si>
    <t>*** С учётом округления стоимости 1 часа охраны до 2-х знаков разрядности, итого НМЦК за 1 пост</t>
  </si>
  <si>
    <t>Пример расчета на 1 пост физ.охраны 24 часа</t>
  </si>
  <si>
    <t>Пример расчета на 1 пост физ.охраны 12 часов</t>
  </si>
  <si>
    <t>Количество чел/час</t>
  </si>
  <si>
    <t>доплата за работу в районах Крайнего Севера и приравненных к ним местностях (РК согласно ст. 316 ТК РФ)</t>
  </si>
  <si>
    <t>Количество смен всего (количество дней)</t>
  </si>
  <si>
    <t>2025 год</t>
  </si>
  <si>
    <t>на 2025 год</t>
  </si>
  <si>
    <t>на 2025</t>
  </si>
  <si>
    <t>0,8 - районный коэффициент</t>
  </si>
  <si>
    <r>
      <t>Постановление Правительства РФ от 22.07.2008 №554 "О минимальном размере повышения оплаты труда за работу в ночное время"  (с 22 часов до 6 часов),</t>
    </r>
    <r>
      <rPr>
        <b/>
        <sz val="8"/>
        <color rgb="FFFF0000"/>
        <rFont val="Times New Roman"/>
        <family val="1"/>
        <charset val="204"/>
      </rPr>
      <t xml:space="preserve"> </t>
    </r>
    <r>
      <rPr>
        <b/>
        <u/>
        <sz val="8"/>
        <color rgb="FFFF0000"/>
        <rFont val="Times New Roman"/>
        <family val="1"/>
        <charset val="204"/>
      </rPr>
      <t>Применяется, если есть ночные смены.</t>
    </r>
  </si>
  <si>
    <t>Применяется, если есть смены в выходные и праздничные дни ( в 2025 году всего 365 дней, их них рабочих - 247;   13 - нерабочие праздничные дни)</t>
  </si>
  <si>
    <t>2024  применять МРОТ утвержденный на дату расчета</t>
  </si>
  <si>
    <t>Пример расчета на 1 пост физ.охраны с режимим работы отличным от 24 и 12 часов - не более 24 часов, не менее 3 часов</t>
  </si>
  <si>
    <t>Справочно:</t>
  </si>
  <si>
    <t>календарных дней</t>
  </si>
  <si>
    <t xml:space="preserve">рабочих дней </t>
  </si>
  <si>
    <t>праздничных дней (предварительно)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</si>
</sst>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00"/>
    <numFmt numFmtId="166" formatCode="#,##0.000000"/>
    <numFmt numFmtId="167" formatCode="#,##0.00000000"/>
    <numFmt numFmtId="168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rgb="FFFF0000"/>
      <name val="Times New Roman"/>
      <family val="1"/>
      <charset val="204"/>
    </font>
    <font>
      <b/>
      <u/>
      <sz val="8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5" fontId="1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4" fillId="6" borderId="3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4" fontId="4" fillId="4" borderId="3" xfId="0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8" borderId="3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vertical="center" wrapText="1"/>
    </xf>
    <xf numFmtId="166" fontId="10" fillId="8" borderId="3" xfId="0" applyNumberFormat="1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left" vertical="center"/>
    </xf>
    <xf numFmtId="0" fontId="12" fillId="8" borderId="3" xfId="0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3" fontId="1" fillId="9" borderId="3" xfId="0" applyNumberFormat="1" applyFont="1" applyFill="1" applyBorder="1" applyAlignment="1">
      <alignment horizontal="center" vertical="center"/>
    </xf>
    <xf numFmtId="2" fontId="1" fillId="9" borderId="3" xfId="0" applyNumberFormat="1" applyFont="1" applyFill="1" applyBorder="1" applyAlignment="1">
      <alignment horizontal="center" vertical="center"/>
    </xf>
    <xf numFmtId="4" fontId="13" fillId="9" borderId="3" xfId="0" applyNumberFormat="1" applyFont="1" applyFill="1" applyBorder="1" applyAlignment="1">
      <alignment horizontal="center" vertical="center"/>
    </xf>
    <xf numFmtId="167" fontId="4" fillId="4" borderId="3" xfId="0" applyNumberFormat="1" applyFont="1" applyFill="1" applyBorder="1" applyAlignment="1">
      <alignment horizontal="center" vertical="center"/>
    </xf>
    <xf numFmtId="168" fontId="1" fillId="6" borderId="3" xfId="0" applyNumberFormat="1" applyFont="1" applyFill="1" applyBorder="1" applyAlignment="1">
      <alignment horizontal="center" vertical="center"/>
    </xf>
    <xf numFmtId="168" fontId="4" fillId="4" borderId="3" xfId="0" applyNumberFormat="1" applyFont="1" applyFill="1" applyBorder="1" applyAlignment="1">
      <alignment horizontal="center" vertical="center"/>
    </xf>
    <xf numFmtId="168" fontId="1" fillId="4" borderId="3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left" vertical="center" wrapText="1"/>
    </xf>
    <xf numFmtId="3" fontId="1" fillId="6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3:J69"/>
  <sheetViews>
    <sheetView tabSelected="1" zoomScale="91" zoomScaleNormal="91" zoomScaleSheetLayoutView="80" workbookViewId="0">
      <pane xSplit="6" ySplit="7" topLeftCell="G38" activePane="bottomRight" state="frozen"/>
      <selection pane="topRight" activeCell="G1" sqref="G1"/>
      <selection pane="bottomLeft" activeCell="A8" sqref="A8"/>
      <selection pane="bottomRight" activeCell="H46" sqref="H46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3.5703125" style="2" customWidth="1"/>
    <col min="7" max="7" width="43.710937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87" t="s">
        <v>102</v>
      </c>
      <c r="C3" s="87"/>
      <c r="D3" s="87"/>
      <c r="E3" s="87"/>
      <c r="F3" s="87"/>
      <c r="G3" s="87"/>
      <c r="H3" s="48"/>
    </row>
    <row r="4" spans="2:9" x14ac:dyDescent="0.25">
      <c r="C4" s="57" t="s">
        <v>112</v>
      </c>
      <c r="F4" s="88" t="s">
        <v>106</v>
      </c>
      <c r="G4" s="88"/>
    </row>
    <row r="5" spans="2:9" ht="15" customHeight="1" x14ac:dyDescent="0.25">
      <c r="B5" s="89" t="s">
        <v>0</v>
      </c>
      <c r="C5" s="90" t="s">
        <v>1</v>
      </c>
      <c r="D5" s="90" t="s">
        <v>2</v>
      </c>
      <c r="E5" s="90" t="s">
        <v>3</v>
      </c>
      <c r="F5" s="91" t="s">
        <v>88</v>
      </c>
      <c r="G5" s="83" t="s">
        <v>4</v>
      </c>
    </row>
    <row r="6" spans="2:9" x14ac:dyDescent="0.25">
      <c r="B6" s="89"/>
      <c r="C6" s="90"/>
      <c r="D6" s="90"/>
      <c r="E6" s="90"/>
      <c r="F6" s="91"/>
      <c r="G6" s="83"/>
    </row>
    <row r="7" spans="2:9" x14ac:dyDescent="0.25">
      <c r="B7" s="89"/>
      <c r="C7" s="90"/>
      <c r="D7" s="90"/>
      <c r="E7" s="90"/>
      <c r="F7" s="91"/>
      <c r="G7" s="8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2" t="s">
        <v>119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2" t="s">
        <v>111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2" t="s">
        <v>120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2" t="s">
        <v>121</v>
      </c>
      <c r="I11" s="72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361.86881742004965</v>
      </c>
      <c r="G12" s="5"/>
      <c r="H12" s="72" t="s">
        <v>122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2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117.25776965265082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19242</v>
      </c>
      <c r="G16" s="66" t="s">
        <v>117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164.1</v>
      </c>
      <c r="G17" s="13" t="s">
        <v>15</v>
      </c>
    </row>
    <row r="18" spans="2:7" ht="30" customHeight="1" x14ac:dyDescent="0.25">
      <c r="B18" s="92">
        <v>10</v>
      </c>
      <c r="C18" s="77" t="s">
        <v>16</v>
      </c>
      <c r="D18" s="79" t="s">
        <v>17</v>
      </c>
      <c r="E18" s="11" t="s">
        <v>18</v>
      </c>
      <c r="F18" s="26">
        <v>20</v>
      </c>
      <c r="G18" s="81" t="s">
        <v>115</v>
      </c>
    </row>
    <row r="19" spans="2:7" ht="31.9" customHeight="1" x14ac:dyDescent="0.25">
      <c r="B19" s="93"/>
      <c r="C19" s="78"/>
      <c r="D19" s="80"/>
      <c r="E19" s="11" t="s">
        <v>6</v>
      </c>
      <c r="F19" s="27">
        <f>1/3*F15*0.2</f>
        <v>7.8171846435100552</v>
      </c>
      <c r="G19" s="82"/>
    </row>
    <row r="20" spans="2:7" ht="15.6" customHeight="1" x14ac:dyDescent="0.25">
      <c r="B20" s="94">
        <v>12</v>
      </c>
      <c r="C20" s="77" t="s">
        <v>19</v>
      </c>
      <c r="D20" s="79" t="s">
        <v>20</v>
      </c>
      <c r="E20" s="11" t="s">
        <v>46</v>
      </c>
      <c r="F20" s="65">
        <v>2</v>
      </c>
      <c r="G20" s="13" t="s">
        <v>21</v>
      </c>
    </row>
    <row r="21" spans="2:7" ht="42.6" customHeight="1" x14ac:dyDescent="0.25">
      <c r="B21" s="95"/>
      <c r="C21" s="78"/>
      <c r="D21" s="80"/>
      <c r="E21" s="11" t="s">
        <v>6</v>
      </c>
      <c r="F21" s="27">
        <f>F15*14/365</f>
        <v>4.4975582880468812</v>
      </c>
      <c r="G21" s="66" t="s">
        <v>116</v>
      </c>
    </row>
    <row r="22" spans="2:7" ht="21.75" customHeight="1" x14ac:dyDescent="0.25">
      <c r="B22" s="94">
        <v>14</v>
      </c>
      <c r="C22" s="77" t="s">
        <v>109</v>
      </c>
      <c r="D22" s="79" t="s">
        <v>22</v>
      </c>
      <c r="E22" s="11" t="s">
        <v>46</v>
      </c>
      <c r="F22" s="26">
        <f>0.8</f>
        <v>0.8</v>
      </c>
      <c r="G22" s="68" t="s">
        <v>114</v>
      </c>
    </row>
    <row r="23" spans="2:7" ht="21.75" customHeight="1" x14ac:dyDescent="0.25">
      <c r="B23" s="95"/>
      <c r="C23" s="78"/>
      <c r="D23" s="80"/>
      <c r="E23" s="11" t="s">
        <v>6</v>
      </c>
      <c r="F23" s="59">
        <f>(F15+F19+F21)*F22</f>
        <v>103.65801006736622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19.435876887631167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76.305252660839955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1.1000000000000001</v>
      </c>
      <c r="G27" s="13"/>
    </row>
    <row r="28" spans="2:7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</v>
      </c>
      <c r="G28" s="13"/>
    </row>
    <row r="29" spans="2:7" ht="15" customHeight="1" x14ac:dyDescent="0.25">
      <c r="B29" s="38">
        <v>21</v>
      </c>
      <c r="C29" s="14" t="s">
        <v>32</v>
      </c>
      <c r="D29" s="11"/>
      <c r="E29" s="31" t="s">
        <v>97</v>
      </c>
      <c r="F29" s="39">
        <v>1</v>
      </c>
      <c r="G29" s="8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/>
      <c r="G30" s="85"/>
    </row>
    <row r="31" spans="2:7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86"/>
    </row>
    <row r="32" spans="2:7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74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75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75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75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76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G5:G7"/>
    <mergeCell ref="G29:G31"/>
    <mergeCell ref="B3:G3"/>
    <mergeCell ref="F4:G4"/>
    <mergeCell ref="B5:B7"/>
    <mergeCell ref="C5:C7"/>
    <mergeCell ref="D5:D7"/>
    <mergeCell ref="E5:E7"/>
    <mergeCell ref="F5:F7"/>
    <mergeCell ref="B18:B19"/>
    <mergeCell ref="B20:B21"/>
    <mergeCell ref="B22:B23"/>
    <mergeCell ref="G33:G37"/>
    <mergeCell ref="C22:C23"/>
    <mergeCell ref="D22:D23"/>
    <mergeCell ref="C20:C21"/>
    <mergeCell ref="C18:C19"/>
    <mergeCell ref="G18:G19"/>
    <mergeCell ref="D18:D19"/>
    <mergeCell ref="D20:D21"/>
  </mergeCells>
  <pageMargins left="0.7" right="0.7" top="0.75" bottom="0.75" header="0.3" footer="0.3"/>
  <pageSetup paperSize="9" scale="7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95" zoomScaleNormal="95" workbookViewId="0">
      <pane xSplit="6" ySplit="7" topLeftCell="G17" activePane="bottomRight" state="frozen"/>
      <selection pane="topRight" activeCell="G1" sqref="G1"/>
      <selection pane="bottomLeft" activeCell="A8" sqref="A8"/>
      <selection pane="bottomRight" activeCell="F21" sqref="F21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5" style="1" customWidth="1"/>
    <col min="8" max="8" width="32.85546875" style="1" customWidth="1"/>
    <col min="9" max="16384" width="9.140625" style="1"/>
  </cols>
  <sheetData>
    <row r="3" spans="2:9" ht="47.25" customHeight="1" x14ac:dyDescent="0.25">
      <c r="B3" s="87" t="s">
        <v>102</v>
      </c>
      <c r="C3" s="87"/>
      <c r="D3" s="87"/>
      <c r="E3" s="87"/>
      <c r="F3" s="87"/>
      <c r="G3" s="87"/>
      <c r="H3" s="48"/>
    </row>
    <row r="4" spans="2:9" x14ac:dyDescent="0.25">
      <c r="C4" s="57" t="s">
        <v>112</v>
      </c>
      <c r="F4" s="88" t="s">
        <v>107</v>
      </c>
      <c r="G4" s="88"/>
    </row>
    <row r="5" spans="2:9" ht="15" customHeight="1" x14ac:dyDescent="0.25">
      <c r="B5" s="89" t="s">
        <v>0</v>
      </c>
      <c r="C5" s="90" t="s">
        <v>1</v>
      </c>
      <c r="D5" s="90" t="s">
        <v>2</v>
      </c>
      <c r="E5" s="90" t="s">
        <v>3</v>
      </c>
      <c r="F5" s="91" t="s">
        <v>88</v>
      </c>
      <c r="G5" s="83" t="s">
        <v>4</v>
      </c>
    </row>
    <row r="6" spans="2:9" x14ac:dyDescent="0.25">
      <c r="B6" s="89"/>
      <c r="C6" s="90"/>
      <c r="D6" s="90"/>
      <c r="E6" s="90"/>
      <c r="F6" s="91"/>
      <c r="G6" s="83"/>
    </row>
    <row r="7" spans="2:9" x14ac:dyDescent="0.25">
      <c r="B7" s="89"/>
      <c r="C7" s="90"/>
      <c r="D7" s="90"/>
      <c r="E7" s="90"/>
      <c r="F7" s="91"/>
      <c r="G7" s="8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2" t="s">
        <v>119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2" t="s">
        <v>111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2" t="s">
        <v>120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2" t="s">
        <v>121</v>
      </c>
      <c r="I11" s="72">
        <v>247</v>
      </c>
    </row>
    <row r="12" spans="2:9" ht="27" x14ac:dyDescent="0.25">
      <c r="B12" s="38">
        <v>4</v>
      </c>
      <c r="C12" s="9" t="s">
        <v>49</v>
      </c>
      <c r="D12" s="8" t="s">
        <v>5</v>
      </c>
      <c r="E12" s="8" t="s">
        <v>6</v>
      </c>
      <c r="F12" s="24">
        <f>(F15+F19+F21+F23+F24+F25)*F27</f>
        <v>525.71391966916519</v>
      </c>
      <c r="G12" s="5"/>
      <c r="H12" s="72" t="s">
        <v>122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2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117.11503347534996</v>
      </c>
      <c r="G15" s="13"/>
    </row>
    <row r="16" spans="2:9" x14ac:dyDescent="0.25">
      <c r="B16" s="38">
        <v>8</v>
      </c>
      <c r="C16" s="12" t="s">
        <v>11</v>
      </c>
      <c r="D16" s="11" t="s">
        <v>10</v>
      </c>
      <c r="E16" s="11" t="s">
        <v>6</v>
      </c>
      <c r="F16" s="58">
        <v>19242</v>
      </c>
      <c r="G16" s="66" t="s">
        <v>117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164.3</v>
      </c>
      <c r="G17" s="13" t="s">
        <v>15</v>
      </c>
    </row>
    <row r="18" spans="2:7" ht="30" customHeight="1" x14ac:dyDescent="0.25">
      <c r="B18" s="92">
        <v>10</v>
      </c>
      <c r="C18" s="77" t="s">
        <v>16</v>
      </c>
      <c r="D18" s="79" t="s">
        <v>17</v>
      </c>
      <c r="E18" s="11" t="s">
        <v>18</v>
      </c>
      <c r="F18" s="26">
        <v>20</v>
      </c>
      <c r="G18" s="81" t="s">
        <v>115</v>
      </c>
    </row>
    <row r="19" spans="2:7" ht="31.9" customHeight="1" x14ac:dyDescent="0.25">
      <c r="B19" s="93"/>
      <c r="C19" s="78"/>
      <c r="D19" s="80"/>
      <c r="E19" s="11" t="s">
        <v>6</v>
      </c>
      <c r="F19" s="27">
        <f>1/3*F15*0.2</f>
        <v>7.8076688983566642</v>
      </c>
      <c r="G19" s="82"/>
    </row>
    <row r="20" spans="2:7" ht="15.6" customHeight="1" x14ac:dyDescent="0.25">
      <c r="B20" s="94">
        <v>12</v>
      </c>
      <c r="C20" s="77" t="s">
        <v>19</v>
      </c>
      <c r="D20" s="79" t="s">
        <v>20</v>
      </c>
      <c r="E20" s="11" t="s">
        <v>46</v>
      </c>
      <c r="F20" s="65">
        <v>2</v>
      </c>
      <c r="G20" s="13" t="s">
        <v>21</v>
      </c>
    </row>
    <row r="21" spans="2:7" ht="42.6" customHeight="1" x14ac:dyDescent="0.25">
      <c r="B21" s="95"/>
      <c r="C21" s="78"/>
      <c r="D21" s="80"/>
      <c r="E21" s="11" t="s">
        <v>6</v>
      </c>
      <c r="F21" s="27">
        <f>F15*14/365</f>
        <v>4.4920834757668482</v>
      </c>
      <c r="G21" s="66" t="s">
        <v>116</v>
      </c>
    </row>
    <row r="22" spans="2:7" ht="21.75" customHeight="1" x14ac:dyDescent="0.25">
      <c r="B22" s="94">
        <v>14</v>
      </c>
      <c r="C22" s="77" t="s">
        <v>109</v>
      </c>
      <c r="D22" s="79" t="s">
        <v>22</v>
      </c>
      <c r="E22" s="11" t="s">
        <v>46</v>
      </c>
      <c r="F22" s="26">
        <f>0.8</f>
        <v>0.8</v>
      </c>
      <c r="G22" s="68" t="s">
        <v>114</v>
      </c>
    </row>
    <row r="23" spans="2:7" ht="21.75" customHeight="1" x14ac:dyDescent="0.25">
      <c r="B23" s="95"/>
      <c r="C23" s="78"/>
      <c r="D23" s="80"/>
      <c r="E23" s="11" t="s">
        <v>6</v>
      </c>
      <c r="F23" s="59">
        <f>(F15+F19+F21)*F22</f>
        <v>103.53182867957878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19.412217877421021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76.212367386754934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27">
        <f>+SUM(F28,F32)</f>
        <v>1.6</v>
      </c>
      <c r="G27" s="13"/>
    </row>
    <row r="28" spans="2:7" x14ac:dyDescent="0.25">
      <c r="B28" s="38">
        <v>20</v>
      </c>
      <c r="C28" s="34" t="s">
        <v>29</v>
      </c>
      <c r="D28" s="11" t="s">
        <v>31</v>
      </c>
      <c r="E28" s="11"/>
      <c r="F28" s="32">
        <f>F29+F30+F31</f>
        <v>1.5</v>
      </c>
      <c r="G28" s="13"/>
    </row>
    <row r="29" spans="2:7" ht="15" customHeight="1" x14ac:dyDescent="0.25">
      <c r="B29" s="38">
        <v>21</v>
      </c>
      <c r="C29" s="14" t="s">
        <v>32</v>
      </c>
      <c r="D29" s="11"/>
      <c r="E29" s="31" t="s">
        <v>97</v>
      </c>
      <c r="F29" s="39"/>
      <c r="G29" s="8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>
        <v>1.5</v>
      </c>
      <c r="G30" s="85"/>
    </row>
    <row r="31" spans="2:7" ht="45" x14ac:dyDescent="0.25">
      <c r="B31" s="38">
        <v>23</v>
      </c>
      <c r="C31" s="14" t="s">
        <v>34</v>
      </c>
      <c r="D31" s="11"/>
      <c r="E31" s="11" t="s">
        <v>99</v>
      </c>
      <c r="F31" s="33"/>
      <c r="G31" s="86"/>
    </row>
    <row r="32" spans="2:7" x14ac:dyDescent="0.25">
      <c r="B32" s="38">
        <v>24</v>
      </c>
      <c r="C32" s="35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ht="15" customHeight="1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74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75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75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75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76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33.75" customHeight="1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22:B23"/>
    <mergeCell ref="C22:C23"/>
    <mergeCell ref="D22:D23"/>
    <mergeCell ref="G29:G31"/>
    <mergeCell ref="G33:G37"/>
    <mergeCell ref="B18:B19"/>
    <mergeCell ref="C18:C19"/>
    <mergeCell ref="D18:D19"/>
    <mergeCell ref="G18:G19"/>
    <mergeCell ref="B20:B21"/>
    <mergeCell ref="C20:C21"/>
    <mergeCell ref="D20:D21"/>
    <mergeCell ref="B3:G3"/>
    <mergeCell ref="F4:G4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69"/>
  <sheetViews>
    <sheetView zoomScale="87" zoomScaleNormal="87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J20" sqref="J20"/>
    </sheetView>
  </sheetViews>
  <sheetFormatPr defaultColWidth="9.140625" defaultRowHeight="15" x14ac:dyDescent="0.25"/>
  <cols>
    <col min="1" max="1" width="4.28515625" style="1" customWidth="1"/>
    <col min="2" max="2" width="5.7109375" style="2" customWidth="1"/>
    <col min="3" max="3" width="84.42578125" style="1" customWidth="1"/>
    <col min="4" max="5" width="9.140625" style="2"/>
    <col min="6" max="6" width="20.42578125" style="2" customWidth="1"/>
    <col min="7" max="7" width="41.140625" style="1" customWidth="1"/>
    <col min="8" max="8" width="23.42578125" style="1" customWidth="1"/>
    <col min="9" max="16384" width="9.140625" style="1"/>
  </cols>
  <sheetData>
    <row r="3" spans="2:9" ht="47.25" customHeight="1" x14ac:dyDescent="0.25">
      <c r="B3" s="87" t="s">
        <v>102</v>
      </c>
      <c r="C3" s="87"/>
      <c r="D3" s="87"/>
      <c r="E3" s="87"/>
      <c r="F3" s="87"/>
      <c r="G3" s="87"/>
      <c r="H3" s="48"/>
    </row>
    <row r="4" spans="2:9" ht="33" customHeight="1" x14ac:dyDescent="0.25">
      <c r="C4" s="57" t="s">
        <v>113</v>
      </c>
      <c r="F4" s="96" t="s">
        <v>118</v>
      </c>
      <c r="G4" s="96"/>
    </row>
    <row r="5" spans="2:9" ht="15" customHeight="1" x14ac:dyDescent="0.25">
      <c r="B5" s="89" t="s">
        <v>0</v>
      </c>
      <c r="C5" s="90" t="s">
        <v>1</v>
      </c>
      <c r="D5" s="90" t="s">
        <v>2</v>
      </c>
      <c r="E5" s="90" t="s">
        <v>3</v>
      </c>
      <c r="F5" s="91" t="s">
        <v>88</v>
      </c>
      <c r="G5" s="83" t="s">
        <v>4</v>
      </c>
    </row>
    <row r="6" spans="2:9" x14ac:dyDescent="0.25">
      <c r="B6" s="89"/>
      <c r="C6" s="90"/>
      <c r="D6" s="90"/>
      <c r="E6" s="90"/>
      <c r="F6" s="91"/>
      <c r="G6" s="83"/>
    </row>
    <row r="7" spans="2:9" x14ac:dyDescent="0.25">
      <c r="B7" s="89"/>
      <c r="C7" s="90"/>
      <c r="D7" s="90"/>
      <c r="E7" s="90"/>
      <c r="F7" s="91"/>
      <c r="G7" s="83"/>
    </row>
    <row r="8" spans="2:9" ht="13.9" customHeight="1" x14ac:dyDescent="0.25">
      <c r="B8" s="36">
        <v>1</v>
      </c>
      <c r="C8" s="36">
        <v>2</v>
      </c>
      <c r="D8" s="36">
        <v>3</v>
      </c>
      <c r="E8" s="36">
        <v>4</v>
      </c>
      <c r="F8" s="37">
        <v>5</v>
      </c>
      <c r="G8" s="37">
        <v>6</v>
      </c>
      <c r="H8" s="73" t="s">
        <v>119</v>
      </c>
      <c r="I8" s="72"/>
    </row>
    <row r="9" spans="2:9" x14ac:dyDescent="0.25">
      <c r="B9" s="38">
        <v>1</v>
      </c>
      <c r="C9" s="7" t="s">
        <v>110</v>
      </c>
      <c r="D9" s="3"/>
      <c r="E9" s="3"/>
      <c r="F9" s="23"/>
      <c r="G9" s="5"/>
      <c r="H9" s="73" t="s">
        <v>111</v>
      </c>
      <c r="I9" s="72"/>
    </row>
    <row r="10" spans="2:9" x14ac:dyDescent="0.25">
      <c r="B10" s="38">
        <v>2</v>
      </c>
      <c r="C10" s="4" t="s">
        <v>89</v>
      </c>
      <c r="D10" s="3"/>
      <c r="E10" s="3"/>
      <c r="F10" s="30"/>
      <c r="G10" s="44"/>
      <c r="H10" s="73" t="s">
        <v>120</v>
      </c>
      <c r="I10" s="72">
        <v>365</v>
      </c>
    </row>
    <row r="11" spans="2:9" x14ac:dyDescent="0.25">
      <c r="B11" s="38">
        <v>3</v>
      </c>
      <c r="C11" s="7" t="s">
        <v>108</v>
      </c>
      <c r="D11" s="6" t="s">
        <v>35</v>
      </c>
      <c r="E11" s="6"/>
      <c r="F11" s="30">
        <f>F10*F9</f>
        <v>0</v>
      </c>
      <c r="G11" s="5"/>
      <c r="H11" s="73" t="s">
        <v>121</v>
      </c>
      <c r="I11" s="72">
        <v>247</v>
      </c>
    </row>
    <row r="12" spans="2:9" ht="30" x14ac:dyDescent="0.25">
      <c r="B12" s="38">
        <v>4</v>
      </c>
      <c r="C12" s="9" t="s">
        <v>49</v>
      </c>
      <c r="D12" s="8" t="s">
        <v>5</v>
      </c>
      <c r="E12" s="8" t="s">
        <v>6</v>
      </c>
      <c r="F12" s="61">
        <f>(F15+F19+F21+F23+F24+F25)*F27</f>
        <v>690.84046962009484</v>
      </c>
      <c r="G12" s="5"/>
      <c r="H12" s="73" t="s">
        <v>122</v>
      </c>
      <c r="I12" s="72">
        <v>14</v>
      </c>
    </row>
    <row r="13" spans="2:9" ht="27" x14ac:dyDescent="0.25">
      <c r="B13" s="38">
        <v>5</v>
      </c>
      <c r="C13" s="9" t="s">
        <v>47</v>
      </c>
      <c r="D13" s="8" t="s">
        <v>48</v>
      </c>
      <c r="E13" s="8" t="s">
        <v>6</v>
      </c>
      <c r="F13" s="24">
        <f>+(F11*F12)*0.2</f>
        <v>0</v>
      </c>
      <c r="G13" s="10" t="s">
        <v>52</v>
      </c>
      <c r="H13" s="73" t="s">
        <v>13</v>
      </c>
      <c r="I13" s="72">
        <v>164.3</v>
      </c>
    </row>
    <row r="14" spans="2:9" x14ac:dyDescent="0.25">
      <c r="B14" s="38">
        <v>6</v>
      </c>
      <c r="C14" s="9" t="s">
        <v>50</v>
      </c>
      <c r="D14" s="8" t="s">
        <v>51</v>
      </c>
      <c r="E14" s="8" t="s">
        <v>6</v>
      </c>
      <c r="F14" s="24">
        <f>+((F12*F11)+F13)*0.05</f>
        <v>0</v>
      </c>
      <c r="G14" s="10" t="s">
        <v>53</v>
      </c>
    </row>
    <row r="15" spans="2:9" ht="30" x14ac:dyDescent="0.25">
      <c r="B15" s="38">
        <v>7</v>
      </c>
      <c r="C15" s="12" t="s">
        <v>9</v>
      </c>
      <c r="D15" s="11" t="s">
        <v>7</v>
      </c>
      <c r="E15" s="11" t="s">
        <v>8</v>
      </c>
      <c r="F15" s="25">
        <f>+F16/F17</f>
        <v>117.25776965265082</v>
      </c>
      <c r="G15" s="13"/>
    </row>
    <row r="16" spans="2:9" ht="21" x14ac:dyDescent="0.25">
      <c r="B16" s="38">
        <v>8</v>
      </c>
      <c r="C16" s="12" t="s">
        <v>11</v>
      </c>
      <c r="D16" s="11" t="s">
        <v>10</v>
      </c>
      <c r="E16" s="11" t="s">
        <v>6</v>
      </c>
      <c r="F16" s="67">
        <v>19242</v>
      </c>
      <c r="G16" s="66" t="s">
        <v>117</v>
      </c>
    </row>
    <row r="17" spans="2:7" ht="22.5" x14ac:dyDescent="0.25">
      <c r="B17" s="38">
        <v>9</v>
      </c>
      <c r="C17" s="12" t="s">
        <v>12</v>
      </c>
      <c r="D17" s="11" t="s">
        <v>13</v>
      </c>
      <c r="E17" s="11" t="s">
        <v>14</v>
      </c>
      <c r="F17" s="39">
        <v>164.1</v>
      </c>
      <c r="G17" s="13" t="s">
        <v>15</v>
      </c>
    </row>
    <row r="18" spans="2:7" ht="30" customHeight="1" x14ac:dyDescent="0.25">
      <c r="B18" s="92">
        <v>10</v>
      </c>
      <c r="C18" s="77" t="s">
        <v>16</v>
      </c>
      <c r="D18" s="79" t="s">
        <v>17</v>
      </c>
      <c r="E18" s="11" t="s">
        <v>18</v>
      </c>
      <c r="F18" s="26">
        <v>20</v>
      </c>
      <c r="G18" s="81" t="s">
        <v>115</v>
      </c>
    </row>
    <row r="19" spans="2:7" ht="31.9" customHeight="1" x14ac:dyDescent="0.25">
      <c r="B19" s="93"/>
      <c r="C19" s="78"/>
      <c r="D19" s="80"/>
      <c r="E19" s="11" t="s">
        <v>6</v>
      </c>
      <c r="F19" s="27">
        <f>1/3*F15*0.2</f>
        <v>7.8171846435100552</v>
      </c>
      <c r="G19" s="82"/>
    </row>
    <row r="20" spans="2:7" ht="15.6" customHeight="1" x14ac:dyDescent="0.25">
      <c r="B20" s="94">
        <v>12</v>
      </c>
      <c r="C20" s="77" t="s">
        <v>19</v>
      </c>
      <c r="D20" s="79" t="s">
        <v>20</v>
      </c>
      <c r="E20" s="11" t="s">
        <v>46</v>
      </c>
      <c r="F20" s="26">
        <v>2</v>
      </c>
      <c r="G20" s="13" t="s">
        <v>21</v>
      </c>
    </row>
    <row r="21" spans="2:7" ht="42.6" customHeight="1" x14ac:dyDescent="0.25">
      <c r="B21" s="95"/>
      <c r="C21" s="78"/>
      <c r="D21" s="80"/>
      <c r="E21" s="11" t="s">
        <v>6</v>
      </c>
      <c r="F21" s="27">
        <f>F15*14/365</f>
        <v>4.4975582880468812</v>
      </c>
      <c r="G21" s="66" t="s">
        <v>116</v>
      </c>
    </row>
    <row r="22" spans="2:7" ht="21.75" customHeight="1" x14ac:dyDescent="0.25">
      <c r="B22" s="94">
        <v>14</v>
      </c>
      <c r="C22" s="77" t="s">
        <v>109</v>
      </c>
      <c r="D22" s="79" t="s">
        <v>22</v>
      </c>
      <c r="E22" s="11" t="s">
        <v>46</v>
      </c>
      <c r="F22" s="26">
        <f>0.8</f>
        <v>0.8</v>
      </c>
      <c r="G22" s="68" t="s">
        <v>114</v>
      </c>
    </row>
    <row r="23" spans="2:7" ht="21.75" customHeight="1" x14ac:dyDescent="0.25">
      <c r="B23" s="95"/>
      <c r="C23" s="78"/>
      <c r="D23" s="80"/>
      <c r="E23" s="11" t="s">
        <v>6</v>
      </c>
      <c r="F23" s="59">
        <f>(F15+F19+F21)*F22</f>
        <v>103.65801006736622</v>
      </c>
      <c r="G23" s="13"/>
    </row>
    <row r="24" spans="2:7" ht="30" x14ac:dyDescent="0.25">
      <c r="B24" s="38">
        <v>16</v>
      </c>
      <c r="C24" s="12" t="s">
        <v>24</v>
      </c>
      <c r="D24" s="11" t="s">
        <v>23</v>
      </c>
      <c r="E24" s="11"/>
      <c r="F24" s="28">
        <f>+(F15+F19+F21+F23)/12</f>
        <v>19.435876887631167</v>
      </c>
      <c r="G24" s="13"/>
    </row>
    <row r="25" spans="2:7" ht="30" x14ac:dyDescent="0.25">
      <c r="B25" s="38">
        <v>17</v>
      </c>
      <c r="C25" s="12" t="s">
        <v>25</v>
      </c>
      <c r="D25" s="11"/>
      <c r="E25" s="11"/>
      <c r="F25" s="28">
        <f>+(F15+F19+F21+F23+F24)*F26</f>
        <v>76.305252660839955</v>
      </c>
      <c r="G25" s="13"/>
    </row>
    <row r="26" spans="2:7" x14ac:dyDescent="0.25">
      <c r="B26" s="38">
        <v>18</v>
      </c>
      <c r="C26" s="12" t="s">
        <v>26</v>
      </c>
      <c r="D26" s="11" t="s">
        <v>27</v>
      </c>
      <c r="E26" s="11"/>
      <c r="F26" s="26">
        <v>0.30199999999999999</v>
      </c>
      <c r="G26" s="13"/>
    </row>
    <row r="27" spans="2:7" ht="30" x14ac:dyDescent="0.25">
      <c r="B27" s="38">
        <v>19</v>
      </c>
      <c r="C27" s="12" t="s">
        <v>28</v>
      </c>
      <c r="D27" s="11" t="s">
        <v>30</v>
      </c>
      <c r="E27" s="11"/>
      <c r="F27" s="64">
        <f>+SUM(F28,F32)</f>
        <v>2.1</v>
      </c>
      <c r="G27" s="13"/>
    </row>
    <row r="28" spans="2:7" x14ac:dyDescent="0.25">
      <c r="B28" s="38">
        <v>20</v>
      </c>
      <c r="C28" s="69" t="s">
        <v>29</v>
      </c>
      <c r="D28" s="11" t="s">
        <v>31</v>
      </c>
      <c r="E28" s="11"/>
      <c r="F28" s="63">
        <f>F29+F30+F31</f>
        <v>2</v>
      </c>
      <c r="G28" s="13"/>
    </row>
    <row r="29" spans="2:7" x14ac:dyDescent="0.25">
      <c r="B29" s="38">
        <v>21</v>
      </c>
      <c r="C29" s="14" t="s">
        <v>32</v>
      </c>
      <c r="D29" s="11"/>
      <c r="E29" s="31" t="s">
        <v>97</v>
      </c>
      <c r="F29" s="39"/>
      <c r="G29" s="84" t="s">
        <v>100</v>
      </c>
    </row>
    <row r="30" spans="2:7" x14ac:dyDescent="0.25">
      <c r="B30" s="38">
        <v>22</v>
      </c>
      <c r="C30" s="14" t="s">
        <v>33</v>
      </c>
      <c r="D30" s="11"/>
      <c r="E30" s="31" t="s">
        <v>98</v>
      </c>
      <c r="F30" s="39"/>
      <c r="G30" s="85"/>
    </row>
    <row r="31" spans="2:7" ht="45" x14ac:dyDescent="0.25">
      <c r="B31" s="38">
        <v>23</v>
      </c>
      <c r="C31" s="71" t="s">
        <v>34</v>
      </c>
      <c r="D31" s="11"/>
      <c r="E31" s="11" t="s">
        <v>99</v>
      </c>
      <c r="F31" s="62">
        <f>2-0.0417*F10</f>
        <v>2</v>
      </c>
      <c r="G31" s="86"/>
    </row>
    <row r="32" spans="2:7" x14ac:dyDescent="0.25">
      <c r="B32" s="38">
        <v>24</v>
      </c>
      <c r="C32" s="70" t="s">
        <v>87</v>
      </c>
      <c r="D32" s="11"/>
      <c r="E32" s="11"/>
      <c r="F32" s="32">
        <f>IF(SUM(F33:F37)&lt;0.35,SUM(F33:F37),0.35)</f>
        <v>0.1</v>
      </c>
      <c r="G32" s="40" t="s">
        <v>96</v>
      </c>
    </row>
    <row r="33" spans="2:7" x14ac:dyDescent="0.25">
      <c r="B33" s="38">
        <v>25</v>
      </c>
      <c r="C33" s="14" t="s">
        <v>36</v>
      </c>
      <c r="D33" s="11" t="s">
        <v>41</v>
      </c>
      <c r="E33" s="11" t="s">
        <v>90</v>
      </c>
      <c r="F33" s="39">
        <v>0</v>
      </c>
      <c r="G33" s="74" t="s">
        <v>94</v>
      </c>
    </row>
    <row r="34" spans="2:7" x14ac:dyDescent="0.25">
      <c r="B34" s="38">
        <v>26</v>
      </c>
      <c r="C34" s="14" t="s">
        <v>37</v>
      </c>
      <c r="D34" s="11" t="s">
        <v>42</v>
      </c>
      <c r="E34" s="11" t="s">
        <v>91</v>
      </c>
      <c r="F34" s="39">
        <v>0</v>
      </c>
      <c r="G34" s="75"/>
    </row>
    <row r="35" spans="2:7" x14ac:dyDescent="0.25">
      <c r="B35" s="38">
        <v>27</v>
      </c>
      <c r="C35" s="14" t="s">
        <v>38</v>
      </c>
      <c r="D35" s="11" t="s">
        <v>43</v>
      </c>
      <c r="E35" s="11" t="s">
        <v>92</v>
      </c>
      <c r="F35" s="39">
        <v>0</v>
      </c>
      <c r="G35" s="75"/>
    </row>
    <row r="36" spans="2:7" ht="45" x14ac:dyDescent="0.25">
      <c r="B36" s="38">
        <v>28</v>
      </c>
      <c r="C36" s="14" t="s">
        <v>39</v>
      </c>
      <c r="D36" s="11" t="s">
        <v>44</v>
      </c>
      <c r="E36" s="11" t="s">
        <v>93</v>
      </c>
      <c r="F36" s="39">
        <v>0.1</v>
      </c>
      <c r="G36" s="75"/>
    </row>
    <row r="37" spans="2:7" ht="30" x14ac:dyDescent="0.25">
      <c r="B37" s="38">
        <v>29</v>
      </c>
      <c r="C37" s="14" t="s">
        <v>40</v>
      </c>
      <c r="D37" s="11" t="s">
        <v>45</v>
      </c>
      <c r="E37" s="11" t="s">
        <v>90</v>
      </c>
      <c r="F37" s="39">
        <v>0</v>
      </c>
      <c r="G37" s="76"/>
    </row>
    <row r="38" spans="2:7" ht="60" x14ac:dyDescent="0.25">
      <c r="B38" s="38">
        <v>30</v>
      </c>
      <c r="C38" s="9" t="s">
        <v>73</v>
      </c>
      <c r="D38" s="8" t="s">
        <v>54</v>
      </c>
      <c r="E38" s="8" t="s">
        <v>6</v>
      </c>
      <c r="F38" s="29">
        <f>+F39*F40+F41*F42+F43*F44+F45*F46+F47</f>
        <v>0</v>
      </c>
      <c r="G38" s="10"/>
    </row>
    <row r="39" spans="2:7" x14ac:dyDescent="0.25">
      <c r="B39" s="38">
        <v>31</v>
      </c>
      <c r="C39" s="12" t="s">
        <v>56</v>
      </c>
      <c r="D39" s="11" t="s">
        <v>55</v>
      </c>
      <c r="E39" s="11"/>
      <c r="F39" s="26"/>
      <c r="G39" s="13"/>
    </row>
    <row r="40" spans="2:7" x14ac:dyDescent="0.25">
      <c r="B40" s="38">
        <v>32</v>
      </c>
      <c r="C40" s="12" t="s">
        <v>58</v>
      </c>
      <c r="D40" s="11" t="s">
        <v>57</v>
      </c>
      <c r="E40" s="11"/>
      <c r="F40" s="26"/>
      <c r="G40" s="13"/>
    </row>
    <row r="41" spans="2:7" x14ac:dyDescent="0.25">
      <c r="B41" s="38">
        <v>33</v>
      </c>
      <c r="C41" s="12" t="s">
        <v>60</v>
      </c>
      <c r="D41" s="11" t="s">
        <v>59</v>
      </c>
      <c r="E41" s="11"/>
      <c r="F41" s="26"/>
      <c r="G41" s="13"/>
    </row>
    <row r="42" spans="2:7" x14ac:dyDescent="0.25">
      <c r="B42" s="38">
        <v>34</v>
      </c>
      <c r="C42" s="12" t="s">
        <v>62</v>
      </c>
      <c r="D42" s="11" t="s">
        <v>61</v>
      </c>
      <c r="E42" s="11"/>
      <c r="F42" s="26"/>
      <c r="G42" s="13"/>
    </row>
    <row r="43" spans="2:7" x14ac:dyDescent="0.25">
      <c r="B43" s="38">
        <v>35</v>
      </c>
      <c r="C43" s="12" t="s">
        <v>63</v>
      </c>
      <c r="D43" s="11" t="s">
        <v>64</v>
      </c>
      <c r="E43" s="11"/>
      <c r="F43" s="26"/>
      <c r="G43" s="13"/>
    </row>
    <row r="44" spans="2:7" ht="30" x14ac:dyDescent="0.25">
      <c r="B44" s="38">
        <v>36</v>
      </c>
      <c r="C44" s="12" t="s">
        <v>65</v>
      </c>
      <c r="D44" s="11" t="s">
        <v>66</v>
      </c>
      <c r="E44" s="11"/>
      <c r="F44" s="26"/>
      <c r="G44" s="13"/>
    </row>
    <row r="45" spans="2:7" x14ac:dyDescent="0.25">
      <c r="B45" s="38">
        <v>37</v>
      </c>
      <c r="C45" s="12" t="s">
        <v>67</v>
      </c>
      <c r="D45" s="11" t="s">
        <v>68</v>
      </c>
      <c r="E45" s="11"/>
      <c r="F45" s="26"/>
      <c r="G45" s="13"/>
    </row>
    <row r="46" spans="2:7" x14ac:dyDescent="0.25">
      <c r="B46" s="38">
        <v>38</v>
      </c>
      <c r="C46" s="12" t="s">
        <v>69</v>
      </c>
      <c r="D46" s="11" t="s">
        <v>70</v>
      </c>
      <c r="E46" s="11"/>
      <c r="F46" s="26"/>
      <c r="G46" s="13"/>
    </row>
    <row r="47" spans="2:7" x14ac:dyDescent="0.25">
      <c r="B47" s="38">
        <v>39</v>
      </c>
      <c r="C47" s="12" t="s">
        <v>72</v>
      </c>
      <c r="D47" s="11" t="s">
        <v>71</v>
      </c>
      <c r="E47" s="11"/>
      <c r="F47" s="26"/>
      <c r="G47" s="13"/>
    </row>
    <row r="48" spans="2:7" ht="30" x14ac:dyDescent="0.25">
      <c r="B48" s="38">
        <v>40</v>
      </c>
      <c r="C48" s="9" t="s">
        <v>75</v>
      </c>
      <c r="D48" s="8" t="s">
        <v>74</v>
      </c>
      <c r="E48" s="8" t="s">
        <v>6</v>
      </c>
      <c r="F48" s="29">
        <f>+F49*F50</f>
        <v>0</v>
      </c>
      <c r="G48" s="10"/>
    </row>
    <row r="49" spans="2:10" x14ac:dyDescent="0.25">
      <c r="B49" s="38">
        <v>41</v>
      </c>
      <c r="C49" s="12" t="s">
        <v>78</v>
      </c>
      <c r="D49" s="11" t="s">
        <v>76</v>
      </c>
      <c r="E49" s="11" t="s">
        <v>6</v>
      </c>
      <c r="F49" s="26"/>
      <c r="G49" s="13"/>
    </row>
    <row r="50" spans="2:10" x14ac:dyDescent="0.25">
      <c r="B50" s="38">
        <v>42</v>
      </c>
      <c r="C50" s="12" t="s">
        <v>79</v>
      </c>
      <c r="D50" s="11" t="s">
        <v>77</v>
      </c>
      <c r="E50" s="11" t="s">
        <v>14</v>
      </c>
      <c r="F50" s="26"/>
      <c r="G50" s="13"/>
    </row>
    <row r="51" spans="2:10" ht="22.5" x14ac:dyDescent="0.25">
      <c r="B51" s="38">
        <v>43</v>
      </c>
      <c r="C51" s="9" t="s">
        <v>80</v>
      </c>
      <c r="D51" s="8" t="s">
        <v>81</v>
      </c>
      <c r="E51" s="8"/>
      <c r="F51" s="26">
        <v>1</v>
      </c>
      <c r="G51" s="10" t="s">
        <v>82</v>
      </c>
    </row>
    <row r="52" spans="2:10" ht="30" x14ac:dyDescent="0.25">
      <c r="B52" s="38">
        <v>44</v>
      </c>
      <c r="C52" s="9" t="s">
        <v>84</v>
      </c>
      <c r="D52" s="8" t="s">
        <v>83</v>
      </c>
      <c r="E52" s="8"/>
      <c r="F52" s="24">
        <f>+(F13+(F12*F11)+F14)*0.2</f>
        <v>0</v>
      </c>
      <c r="G52" s="10"/>
    </row>
    <row r="53" spans="2:10" ht="26.25" x14ac:dyDescent="0.25">
      <c r="B53" s="38">
        <v>45</v>
      </c>
      <c r="C53" s="18" t="s">
        <v>85</v>
      </c>
      <c r="D53" s="17"/>
      <c r="E53" s="17"/>
      <c r="F53" s="24">
        <f>+((F12*F11)+F13+F14+F38+F48)*F51+F52</f>
        <v>0</v>
      </c>
      <c r="G53" s="19"/>
    </row>
    <row r="54" spans="2:10" x14ac:dyDescent="0.25">
      <c r="B54" s="38">
        <v>46</v>
      </c>
      <c r="C54" s="43" t="s">
        <v>95</v>
      </c>
      <c r="D54" s="20"/>
      <c r="E54" s="20"/>
      <c r="F54" s="41">
        <v>1</v>
      </c>
      <c r="G54" s="42" t="s">
        <v>101</v>
      </c>
    </row>
    <row r="55" spans="2:10" x14ac:dyDescent="0.25">
      <c r="B55" s="38">
        <v>47</v>
      </c>
      <c r="C55" s="21" t="s">
        <v>86</v>
      </c>
      <c r="D55" s="20"/>
      <c r="E55" s="20"/>
      <c r="F55" s="45">
        <f>+F53*F54</f>
        <v>0</v>
      </c>
      <c r="G55" s="22"/>
    </row>
    <row r="56" spans="2:10" x14ac:dyDescent="0.25">
      <c r="B56" s="51"/>
      <c r="C56" s="52" t="s">
        <v>103</v>
      </c>
      <c r="D56" s="51"/>
      <c r="E56" s="51"/>
      <c r="F56" s="53" t="e">
        <f>(F55/F11)</f>
        <v>#DIV/0!</v>
      </c>
    </row>
    <row r="57" spans="2:10" x14ac:dyDescent="0.25">
      <c r="B57" s="51"/>
      <c r="C57" s="52" t="s">
        <v>104</v>
      </c>
      <c r="D57" s="51"/>
      <c r="E57" s="51"/>
      <c r="F57" s="60" t="e">
        <f>+ROUND(F56,2)</f>
        <v>#DIV/0!</v>
      </c>
    </row>
    <row r="58" spans="2:10" x14ac:dyDescent="0.25">
      <c r="B58" s="54" t="s">
        <v>105</v>
      </c>
      <c r="C58" s="55"/>
      <c r="F58" s="60" t="e">
        <f>F57*F11</f>
        <v>#DIV/0!</v>
      </c>
      <c r="J58" s="56"/>
    </row>
    <row r="59" spans="2:10" x14ac:dyDescent="0.25">
      <c r="B59" s="46"/>
      <c r="C59" s="47"/>
      <c r="D59" s="48"/>
      <c r="E59" s="48"/>
      <c r="F59" s="49"/>
      <c r="G59" s="50"/>
    </row>
    <row r="60" spans="2:10" x14ac:dyDescent="0.25">
      <c r="C60" s="15"/>
      <c r="G60" s="16"/>
    </row>
    <row r="61" spans="2:10" x14ac:dyDescent="0.25">
      <c r="C61" s="15"/>
    </row>
    <row r="62" spans="2:10" x14ac:dyDescent="0.25">
      <c r="C62" s="15"/>
    </row>
    <row r="63" spans="2:10" x14ac:dyDescent="0.25">
      <c r="C63" s="15"/>
    </row>
    <row r="64" spans="2:10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</sheetData>
  <mergeCells count="20">
    <mergeCell ref="B22:B23"/>
    <mergeCell ref="C22:C23"/>
    <mergeCell ref="D22:D23"/>
    <mergeCell ref="G29:G31"/>
    <mergeCell ref="G33:G37"/>
    <mergeCell ref="B18:B19"/>
    <mergeCell ref="C18:C19"/>
    <mergeCell ref="D18:D19"/>
    <mergeCell ref="G18:G19"/>
    <mergeCell ref="B20:B21"/>
    <mergeCell ref="C20:C21"/>
    <mergeCell ref="D20:D21"/>
    <mergeCell ref="B3:G3"/>
    <mergeCell ref="F4:G4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31 день_24 часа</vt:lpstr>
      <vt:lpstr>31 день_12 часов</vt:lpstr>
      <vt:lpstr>31 день_8 часов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Мякшинова Елена Валерьевна</dc:creator>
  <cp:lastModifiedBy>Елина Ирина Дмитриевна</cp:lastModifiedBy>
  <cp:lastPrinted>2024-06-26T07:32:28Z</cp:lastPrinted>
  <dcterms:created xsi:type="dcterms:W3CDTF">2021-07-05T04:43:44Z</dcterms:created>
  <dcterms:modified xsi:type="dcterms:W3CDTF">2024-10-09T07:41:14Z</dcterms:modified>
</cp:coreProperties>
</file>