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s_finu\shares\Почта\Отдел планирования и финансирования расходов бюджета\ОЦЕНКА о выполнении МЗ по 39 Пост\за 2025 г\"/>
    </mc:Choice>
  </mc:AlternateContent>
  <bookViews>
    <workbookView xWindow="0" yWindow="0" windowWidth="28800" windowHeight="11730" tabRatio="991" activeTab="8"/>
  </bookViews>
  <sheets>
    <sheet name="СВОД 25" sheetId="19" r:id="rId1"/>
    <sheet name="Культура и искусство" sheetId="18" r:id="rId2"/>
    <sheet name="Норильские новости" sheetId="4" r:id="rId3"/>
    <sheet name="Центр развития туризма" sheetId="5" r:id="rId4"/>
    <sheet name="Транспорт" sheetId="6" r:id="rId5"/>
    <sheet name="НЦБД" sheetId="16" r:id="rId6"/>
    <sheet name="Образование" sheetId="1" r:id="rId7"/>
    <sheet name="Молодежная политика" sheetId="17" r:id="rId8"/>
    <sheet name="Физ. культура и спорт" sheetId="20" r:id="rId9"/>
  </sheets>
  <definedNames>
    <definedName name="_xlnm._FilterDatabase" localSheetId="1" hidden="1">'Культура и искусство'!$A$11:$T$298</definedName>
    <definedName name="_xlnm._FilterDatabase" localSheetId="7" hidden="1">'Молодежная политика'!$A$11:$W$39</definedName>
    <definedName name="_xlnm._FilterDatabase" localSheetId="2" hidden="1">'Норильские новости'!$A$11:$R$11</definedName>
    <definedName name="_xlnm._FilterDatabase" localSheetId="6" hidden="1">Образование!$A$11:$AG$1778</definedName>
    <definedName name="_xlnm._FilterDatabase" localSheetId="4" hidden="1">Транспорт!$A$11:$P$19</definedName>
    <definedName name="_xlnm._FilterDatabase" localSheetId="8" hidden="1">'Физ. культура и спорт'!$A$11:$DJ$389</definedName>
    <definedName name="Z_033ACC5A_F6E8_468F_9BE0_86318027F274_.wvu.FilterData" localSheetId="1" hidden="1">'Культура и искусство'!$A$11:$T$11</definedName>
    <definedName name="Z_033ACC5A_F6E8_468F_9BE0_86318027F274_.wvu.FilterData" localSheetId="8" hidden="1">'Физ. культура и спорт'!$A$11:$S$303</definedName>
    <definedName name="Z_0955B959_3DAE_4E74_A781_C345CDB5E7D4_.wvu.FilterData" localSheetId="6" hidden="1">Образование!$M$10:$P$1773</definedName>
    <definedName name="Z_0956D61B_E97A_4B11_83DC_CA607E3E5B04_.wvu.FilterData" localSheetId="6" hidden="1">Образование!$M$10:$P$1773</definedName>
    <definedName name="Z_2520D3D7_8B65_45CB_BEB1_3C394BD29D04_.wvu.FilterData" localSheetId="1" hidden="1">'Культура и искусство'!$A$11:$T$11</definedName>
    <definedName name="Z_2732AE8A_56AB_4034_A6FB_43FEC9F0E9B7_.wvu.FilterData" localSheetId="6" hidden="1">Образование!$M$10:$P$1773</definedName>
    <definedName name="Z_2C3B3F99_6854_499B_B4FB_AA99758E2C38_.wvu.FilterData" localSheetId="8" hidden="1">'Физ. культура и спорт'!$A$11:$S$303</definedName>
    <definedName name="Z_2D6C5878_5CA0_47B0_A1F6_4B79C0A506DE_.wvu.FilterData" localSheetId="1" hidden="1">'Культура и искусство'!$A$11:$T$11</definedName>
    <definedName name="Z_2D6C5878_5CA0_47B0_A1F6_4B79C0A506DE_.wvu.FilterData" localSheetId="2" hidden="1">'Норильские новости'!$A$11:$Q$11</definedName>
    <definedName name="Z_2D6C5878_5CA0_47B0_A1F6_4B79C0A506DE_.wvu.FilterData" localSheetId="6" hidden="1">Образование!$A$11:$Y$1773</definedName>
    <definedName name="Z_2D6C5878_5CA0_47B0_A1F6_4B79C0A506DE_.wvu.FilterData" localSheetId="4" hidden="1">Транспорт!$A$11:$P$19</definedName>
    <definedName name="Z_2D6C5878_5CA0_47B0_A1F6_4B79C0A506DE_.wvu.FilterData" localSheetId="8" hidden="1">'Физ. культура и спорт'!$A$11:$S$303</definedName>
    <definedName name="Z_2D6C5878_5CA0_47B0_A1F6_4B79C0A506DE_.wvu.PrintArea" localSheetId="1" hidden="1">'Культура и искусство'!$A$1:$R$72</definedName>
    <definedName name="Z_2D6C5878_5CA0_47B0_A1F6_4B79C0A506DE_.wvu.PrintArea" localSheetId="2" hidden="1">'Норильские новости'!$A$1:$Q$16</definedName>
    <definedName name="Z_2D6C5878_5CA0_47B0_A1F6_4B79C0A506DE_.wvu.PrintArea" localSheetId="6" hidden="1">Образование!$A$1:$R$1773</definedName>
    <definedName name="Z_2D6C5878_5CA0_47B0_A1F6_4B79C0A506DE_.wvu.PrintArea" localSheetId="4" hidden="1">Транспорт!$A$1:$P$19</definedName>
    <definedName name="Z_2D6C5878_5CA0_47B0_A1F6_4B79C0A506DE_.wvu.PrintArea" localSheetId="8" hidden="1">'Физ. культура и спорт'!$A$1:$R$303</definedName>
    <definedName name="Z_2D6C5878_5CA0_47B0_A1F6_4B79C0A506DE_.wvu.PrintTitles" localSheetId="1" hidden="1">'Культура и искусство'!$8:$11</definedName>
    <definedName name="Z_2D6C5878_5CA0_47B0_A1F6_4B79C0A506DE_.wvu.PrintTitles" localSheetId="6" hidden="1">Образование!$8:$11</definedName>
    <definedName name="Z_2D6C5878_5CA0_47B0_A1F6_4B79C0A506DE_.wvu.PrintTitles" localSheetId="8" hidden="1">'Физ. культура и спорт'!$8:$11</definedName>
    <definedName name="Z_2DD737CB_B0D9_47C5_BDEA_157654AB6C9F_.wvu.FilterData" localSheetId="8" hidden="1">'Физ. культура и спорт'!$A$11:$S$303</definedName>
    <definedName name="Z_2F9334D6_A533_473B_BC1E_2B78C82C5E2F_.wvu.FilterData" localSheetId="6" hidden="1">Образование!$M$10:$P$1773</definedName>
    <definedName name="Z_2F968017_4CFC_4E60_BE50_CDB2F6944221_.wvu.FilterData" localSheetId="8" hidden="1">'Физ. культура и спорт'!$A$11:$S$303</definedName>
    <definedName name="Z_36DBF485_7D0C_49F8_A3A3_0F6FBAD79FF9_.wvu.FilterData" localSheetId="8" hidden="1">'Физ. культура и спорт'!$A$11:$S$303</definedName>
    <definedName name="Z_3BBAFB9D_1760_4C6E_92A6_EDBC26BB995F_.wvu.FilterData" localSheetId="1" hidden="1">'Культура и искусство'!$A$11:$T$298</definedName>
    <definedName name="Z_3BBAFB9D_1760_4C6E_92A6_EDBC26BB995F_.wvu.FilterData" localSheetId="2" hidden="1">'Норильские новости'!$A$11:$Q$11</definedName>
    <definedName name="Z_3E3B0A2F_0BF7_414E_A04F_B9F3DBE95943_.wvu.FilterData" localSheetId="2" hidden="1">'Норильские новости'!$A$11:$Q$11</definedName>
    <definedName name="Z_3E3B0A2F_0BF7_414E_A04F_B9F3DBE95943_.wvu.FilterData" localSheetId="6" hidden="1">Образование!$M$10:$P$1773</definedName>
    <definedName name="Z_5091A97D_793B_47DE_B525_A249A8001771_.wvu.FilterData" localSheetId="1" hidden="1">'Культура и искусство'!$A$11:$T$298</definedName>
    <definedName name="Z_5091A97D_793B_47DE_B525_A249A8001771_.wvu.FilterData" localSheetId="2" hidden="1">'Норильские новости'!$A$11:$Q$11</definedName>
    <definedName name="Z_5091A97D_793B_47DE_B525_A249A8001771_.wvu.FilterData" localSheetId="6" hidden="1">Образование!$A$11:$R$1773</definedName>
    <definedName name="Z_5091A97D_793B_47DE_B525_A249A8001771_.wvu.FilterData" localSheetId="4" hidden="1">Транспорт!$A$11:$P$19</definedName>
    <definedName name="Z_5091A97D_793B_47DE_B525_A249A8001771_.wvu.FilterData" localSheetId="8" hidden="1">'Физ. культура и спорт'!$A$10:$S$303</definedName>
    <definedName name="Z_5091A97D_793B_47DE_B525_A249A8001771_.wvu.PrintArea" localSheetId="1" hidden="1">'Культура и искусство'!$A$1:$R$298</definedName>
    <definedName name="Z_5091A97D_793B_47DE_B525_A249A8001771_.wvu.PrintArea" localSheetId="2" hidden="1">'Норильские новости'!$A$1:$Q$19</definedName>
    <definedName name="Z_5091A97D_793B_47DE_B525_A249A8001771_.wvu.PrintArea" localSheetId="6" hidden="1">Образование!$A$1:$R$1773</definedName>
    <definedName name="Z_5091A97D_793B_47DE_B525_A249A8001771_.wvu.PrintArea" localSheetId="0" hidden="1">'СВОД 25'!$A$1:$D$7</definedName>
    <definedName name="Z_5091A97D_793B_47DE_B525_A249A8001771_.wvu.PrintArea" localSheetId="4" hidden="1">Транспорт!$A$1:$P$19</definedName>
    <definedName name="Z_5091A97D_793B_47DE_B525_A249A8001771_.wvu.PrintArea" localSheetId="8" hidden="1">'Физ. культура и спорт'!$A$1:$R$303</definedName>
    <definedName name="Z_5091A97D_793B_47DE_B525_A249A8001771_.wvu.PrintTitles" localSheetId="1" hidden="1">'Культура и искусство'!$8:$11</definedName>
    <definedName name="Z_5091A97D_793B_47DE_B525_A249A8001771_.wvu.PrintTitles" localSheetId="6" hidden="1">Образование!$8:$11</definedName>
    <definedName name="Z_5091A97D_793B_47DE_B525_A249A8001771_.wvu.PrintTitles" localSheetId="8" hidden="1">'Физ. культура и спорт'!$8:$11</definedName>
    <definedName name="Z_5091A97D_793B_47DE_B525_A249A8001771_.wvu.Rows" localSheetId="1" hidden="1">'Культура и искусство'!#REF!</definedName>
    <definedName name="Z_67E613C5_F76D_4856_8AAA_28FF17E16D22_.wvu.FilterData" localSheetId="6" hidden="1">Образование!$M$10:$P$1773</definedName>
    <definedName name="Z_70AE40DF_D803_42D1_B298_1FEAC20A3AB2_.wvu.FilterData" localSheetId="6" hidden="1">Образование!$M$10:$P$1773</definedName>
    <definedName name="Z_7CA40E2D_3C7F_4549_9D20_25FE1D1E705F_.wvu.FilterData" localSheetId="8" hidden="1">'Физ. культура и спорт'!$A$11:$S$303</definedName>
    <definedName name="Z_7F65764D_7B01_4E4A_8385_FB1A276FACDF_.wvu.FilterData" localSheetId="6" hidden="1">Образование!$A$11:$Y$1773</definedName>
    <definedName name="Z_81534A1A_8986_49B9_B7A5_081083916047_.wvu.FilterData" localSheetId="1" hidden="1">'Культура и искусство'!$A$11:$T$298</definedName>
    <definedName name="Z_8B442B61_14BB_49F3_92AE_43A99F677C0D_.wvu.FilterData" localSheetId="8" hidden="1">'Физ. культура и спорт'!$A$11:$S$303</definedName>
    <definedName name="Z_8D2F08FA_A259_443E_B8F1_13F38A887ED9_.wvu.FilterData" localSheetId="6" hidden="1">Образование!$A$11:$Y$1773</definedName>
    <definedName name="Z_9ECC7E71_FAFE_45D6_B469_8E97733C6B02_.wvu.FilterData" localSheetId="8" hidden="1">'Физ. культура и спорт'!$A$11:$S$303</definedName>
    <definedName name="Z_A84849BF_FC0F_466E_A1F7_E2020CC4114A_.wvu.FilterData" localSheetId="1" hidden="1">'Культура и искусство'!$A$11:$T$298</definedName>
    <definedName name="Z_A84849BF_FC0F_466E_A1F7_E2020CC4114A_.wvu.FilterData" localSheetId="2" hidden="1">'Норильские новости'!$A$11:$Q$11</definedName>
    <definedName name="Z_A84849BF_FC0F_466E_A1F7_E2020CC4114A_.wvu.FilterData" localSheetId="6" hidden="1">Образование!$M$10:$P$1773</definedName>
    <definedName name="Z_A84849BF_FC0F_466E_A1F7_E2020CC4114A_.wvu.FilterData" localSheetId="4" hidden="1">Транспорт!$A$11:$P$19</definedName>
    <definedName name="Z_A84849BF_FC0F_466E_A1F7_E2020CC4114A_.wvu.FilterData" localSheetId="8" hidden="1">'Физ. культура и спорт'!$A$10:$S$303</definedName>
    <definedName name="Z_A84849BF_FC0F_466E_A1F7_E2020CC4114A_.wvu.PrintArea" localSheetId="1" hidden="1">'Культура и искусство'!$A$1:$R$298</definedName>
    <definedName name="Z_A84849BF_FC0F_466E_A1F7_E2020CC4114A_.wvu.PrintArea" localSheetId="2" hidden="1">'Норильские новости'!$A$1:$Q$16</definedName>
    <definedName name="Z_A84849BF_FC0F_466E_A1F7_E2020CC4114A_.wvu.PrintArea" localSheetId="6" hidden="1">Образование!$A$1:$R$1773</definedName>
    <definedName name="Z_A84849BF_FC0F_466E_A1F7_E2020CC4114A_.wvu.PrintArea" localSheetId="4" hidden="1">Транспорт!$A$1:$P$19</definedName>
    <definedName name="Z_A84849BF_FC0F_466E_A1F7_E2020CC4114A_.wvu.PrintArea" localSheetId="8" hidden="1">'Физ. культура и спорт'!$A$1:$R$303</definedName>
    <definedName name="Z_A84849BF_FC0F_466E_A1F7_E2020CC4114A_.wvu.PrintTitles" localSheetId="1" hidden="1">'Культура и искусство'!$8:$11</definedName>
    <definedName name="Z_A84849BF_FC0F_466E_A1F7_E2020CC4114A_.wvu.PrintTitles" localSheetId="6" hidden="1">Образование!$8:$11</definedName>
    <definedName name="Z_A84849BF_FC0F_466E_A1F7_E2020CC4114A_.wvu.PrintTitles" localSheetId="8" hidden="1">'Физ. культура и спорт'!$8:$11</definedName>
    <definedName name="Z_AC15E382_E0E0_4B69_B985_14B63E31F51C_.wvu.FilterData" localSheetId="8" hidden="1">'Физ. культура и спорт'!$A$11:$S$303</definedName>
    <definedName name="Z_B743A953_CA43_4945_9E51_BC474F2C688F_.wvu.FilterData" localSheetId="8" hidden="1">'Физ. культура и спорт'!$A$11:$S$303</definedName>
    <definedName name="Z_BF2E1CD2_29A2_4222_9DA3_D4919BDF686E_.wvu.FilterData" localSheetId="1" hidden="1">'Культура и искусство'!$A$11:$T$298</definedName>
    <definedName name="Z_BF2E1CD2_29A2_4222_9DA3_D4919BDF686E_.wvu.FilterData" localSheetId="2" hidden="1">'Норильские новости'!$A$11:$Q$11</definedName>
    <definedName name="Z_BF2E1CD2_29A2_4222_9DA3_D4919BDF686E_.wvu.FilterData" localSheetId="6" hidden="1">Образование!$A$11:$W$1773</definedName>
    <definedName name="Z_BF2E1CD2_29A2_4222_9DA3_D4919BDF686E_.wvu.FilterData" localSheetId="4" hidden="1">Транспорт!$A$11:$P$19</definedName>
    <definedName name="Z_BF2E1CD2_29A2_4222_9DA3_D4919BDF686E_.wvu.FilterData" localSheetId="8" hidden="1">'Физ. культура и спорт'!$A$10:$S$303</definedName>
    <definedName name="Z_BF2E1CD2_29A2_4222_9DA3_D4919BDF686E_.wvu.PrintArea" localSheetId="1" hidden="1">'Культура и искусство'!$A$1:$R$72</definedName>
    <definedName name="Z_BF2E1CD2_29A2_4222_9DA3_D4919BDF686E_.wvu.PrintArea" localSheetId="2" hidden="1">'Норильские новости'!$A$1:$Q$16</definedName>
    <definedName name="Z_BF2E1CD2_29A2_4222_9DA3_D4919BDF686E_.wvu.PrintArea" localSheetId="6" hidden="1">Образование!$A$1:$R$1773</definedName>
    <definedName name="Z_BF2E1CD2_29A2_4222_9DA3_D4919BDF686E_.wvu.PrintArea" localSheetId="4" hidden="1">Транспорт!$A$1:$P$19</definedName>
    <definedName name="Z_BF2E1CD2_29A2_4222_9DA3_D4919BDF686E_.wvu.PrintArea" localSheetId="8" hidden="1">'Физ. культура и спорт'!$A$1:$R$303</definedName>
    <definedName name="Z_BF2E1CD2_29A2_4222_9DA3_D4919BDF686E_.wvu.PrintTitles" localSheetId="1" hidden="1">'Культура и искусство'!$8:$11</definedName>
    <definedName name="Z_BF2E1CD2_29A2_4222_9DA3_D4919BDF686E_.wvu.PrintTitles" localSheetId="6" hidden="1">Образование!$8:$11</definedName>
    <definedName name="Z_BF2E1CD2_29A2_4222_9DA3_D4919BDF686E_.wvu.PrintTitles" localSheetId="8" hidden="1">'Физ. культура и спорт'!$8:$11</definedName>
    <definedName name="Z_C45CE242_2B20_4763_ACD1_FAAE2489E87E_.wvu.FilterData" localSheetId="6" hidden="1">Образование!$M$10:$P$1773</definedName>
    <definedName name="Z_C9F1CD8B_88B9_4DAE_A4BC_66122758B494_.wvu.FilterData" localSheetId="1" hidden="1">'Культура и искусство'!$A$11:$T$298</definedName>
    <definedName name="Z_C9F1CD8B_88B9_4DAE_A4BC_66122758B494_.wvu.FilterData" localSheetId="2" hidden="1">'Норильские новости'!$A$11:$Q$11</definedName>
    <definedName name="Z_C9F1CD8B_88B9_4DAE_A4BC_66122758B494_.wvu.FilterData" localSheetId="6" hidden="1">Образование!$A$11:$W$1773</definedName>
    <definedName name="Z_C9F1CD8B_88B9_4DAE_A4BC_66122758B494_.wvu.FilterData" localSheetId="4" hidden="1">Транспорт!$A$11:$P$19</definedName>
    <definedName name="Z_C9F1CD8B_88B9_4DAE_A4BC_66122758B494_.wvu.FilterData" localSheetId="8" hidden="1">'Физ. культура и спорт'!$A$11:$S$303</definedName>
    <definedName name="Z_C9F1CD8B_88B9_4DAE_A4BC_66122758B494_.wvu.PrintArea" localSheetId="1" hidden="1">'Культура и искусство'!$A$1:$R$72</definedName>
    <definedName name="Z_C9F1CD8B_88B9_4DAE_A4BC_66122758B494_.wvu.PrintArea" localSheetId="2" hidden="1">'Норильские новости'!$A$1:$Q$19</definedName>
    <definedName name="Z_C9F1CD8B_88B9_4DAE_A4BC_66122758B494_.wvu.PrintArea" localSheetId="6" hidden="1">Образование!$A$1:$R$1773</definedName>
    <definedName name="Z_C9F1CD8B_88B9_4DAE_A4BC_66122758B494_.wvu.PrintArea" localSheetId="4" hidden="1">Транспорт!$A$1:$P$19</definedName>
    <definedName name="Z_C9F1CD8B_88B9_4DAE_A4BC_66122758B494_.wvu.PrintArea" localSheetId="8" hidden="1">'Физ. культура и спорт'!$A$1:$R$303</definedName>
    <definedName name="Z_C9F1CD8B_88B9_4DAE_A4BC_66122758B494_.wvu.PrintTitles" localSheetId="1" hidden="1">'Культура и искусство'!$8:$11</definedName>
    <definedName name="Z_C9F1CD8B_88B9_4DAE_A4BC_66122758B494_.wvu.PrintTitles" localSheetId="6" hidden="1">Образование!$8:$11</definedName>
    <definedName name="Z_C9F1CD8B_88B9_4DAE_A4BC_66122758B494_.wvu.PrintTitles" localSheetId="8" hidden="1">'Физ. культура и спорт'!$8:$11</definedName>
    <definedName name="Z_CED6D38D_B150_4366_AE22_30D69F74BD59_.wvu.FilterData" localSheetId="6" hidden="1">Образование!$M$10:$P$1773</definedName>
    <definedName name="Z_D4F06A79_25CD_4E1F_81D3_D42C35BBC922_.wvu.FilterData" localSheetId="6" hidden="1">Образование!$M$10:$P$1773</definedName>
    <definedName name="Z_DA76438A_0BDE_4A16_AEA8_EFC9376B0CD0_.wvu.FilterData" localSheetId="6" hidden="1">Образование!$M$10:$P$1773</definedName>
    <definedName name="Z_DAF24E9F_6A9A_4493_B995_4A02A8EB1739_.wvu.FilterData" localSheetId="6" hidden="1">Образование!$M$10:$P$1773</definedName>
    <definedName name="Z_DE8DE231_61EC_41F1_BB6F_C716886A0033_.wvu.FilterData" localSheetId="6" hidden="1">Образование!$M$10:$P$1773</definedName>
    <definedName name="Z_E26C9876_3E14_488F_A782_D0CA8D4FC6AB_.wvu.FilterData" localSheetId="6" hidden="1">Образование!$M$10:$P$1773</definedName>
    <definedName name="Z_E4BD1A1A_2CC3_4069_826B_C1E95A927C84_.wvu.FilterData" localSheetId="8" hidden="1">'Физ. культура и спорт'!$A$11:$S$303</definedName>
    <definedName name="Z_F0AC7664_7833_44DD_99FD_120A3923E500_.wvu.FilterData" localSheetId="1" hidden="1">'Культура и искусство'!$A$11:$T$11</definedName>
    <definedName name="Z_F0AC7664_7833_44DD_99FD_120A3923E500_.wvu.FilterData" localSheetId="2" hidden="1">'Норильские новости'!$A$11:$Q$11</definedName>
    <definedName name="Z_F0AC7664_7833_44DD_99FD_120A3923E500_.wvu.FilterData" localSheetId="6" hidden="1">Образование!$A$11:$Y$1773</definedName>
    <definedName name="Z_F0AC7664_7833_44DD_99FD_120A3923E500_.wvu.FilterData" localSheetId="4" hidden="1">Транспорт!$A$11:$P$19</definedName>
    <definedName name="Z_F0AC7664_7833_44DD_99FD_120A3923E500_.wvu.FilterData" localSheetId="8" hidden="1">'Физ. культура и спорт'!$A$10:$S$303</definedName>
    <definedName name="Z_F0AC7664_7833_44DD_99FD_120A3923E500_.wvu.PrintArea" localSheetId="1" hidden="1">'Культура и искусство'!$A$1:$R$298</definedName>
    <definedName name="Z_F0AC7664_7833_44DD_99FD_120A3923E500_.wvu.PrintArea" localSheetId="2" hidden="1">'Норильские новости'!$A$1:$Q$16</definedName>
    <definedName name="Z_F0AC7664_7833_44DD_99FD_120A3923E500_.wvu.PrintArea" localSheetId="6" hidden="1">Образование!$A$1:$R$1773</definedName>
    <definedName name="Z_F0AC7664_7833_44DD_99FD_120A3923E500_.wvu.PrintArea" localSheetId="4" hidden="1">Транспорт!$A$1:$P$19</definedName>
    <definedName name="Z_F0AC7664_7833_44DD_99FD_120A3923E500_.wvu.PrintArea" localSheetId="8" hidden="1">'Физ. культура и спорт'!$A$1:$R$303</definedName>
    <definedName name="Z_F0AC7664_7833_44DD_99FD_120A3923E500_.wvu.PrintTitles" localSheetId="1" hidden="1">'Культура и искусство'!$8:$11</definedName>
    <definedName name="Z_F0AC7664_7833_44DD_99FD_120A3923E500_.wvu.PrintTitles" localSheetId="6" hidden="1">Образование!$8:$11</definedName>
    <definedName name="Z_F0AC7664_7833_44DD_99FD_120A3923E500_.wvu.PrintTitles" localSheetId="8" hidden="1">'Физ. культура и спорт'!$8:$11</definedName>
    <definedName name="Z_F534B591_7C6F_4835_B2CD_C5C5454A8183_.wvu.FilterData" localSheetId="8" hidden="1">'Физ. культура и спорт'!$A$11:$S$303</definedName>
    <definedName name="Z_F71A351D_3B59_4B4B_8B7C_016E2F790291_.wvu.FilterData" localSheetId="6" hidden="1">Образование!$M$10:$P$1773</definedName>
    <definedName name="Z_F9BA47B9_B2D9_42A0_AC57_F283C7A6DD13_.wvu.FilterData" localSheetId="8" hidden="1">'Физ. культура и спорт'!$A$11:$S$303</definedName>
    <definedName name="Z_FB9F6257_6C04_42F3_9B20_CD739CE2F0C0_.wvu.FilterData" localSheetId="1" hidden="1">'Культура и искусство'!$A$11:$T$298</definedName>
    <definedName name="Z_FB9F6257_6C04_42F3_9B20_CD739CE2F0C0_.wvu.FilterData" localSheetId="2" hidden="1">'Норильские новости'!$A$11:$Q$11</definedName>
    <definedName name="Z_FB9F6257_6C04_42F3_9B20_CD739CE2F0C0_.wvu.FilterData" localSheetId="6" hidden="1">Образование!$A$11:$Y$1773</definedName>
    <definedName name="Z_FB9F6257_6C04_42F3_9B20_CD739CE2F0C0_.wvu.FilterData" localSheetId="4" hidden="1">Транспорт!$A$11:$P$19</definedName>
    <definedName name="Z_FB9F6257_6C04_42F3_9B20_CD739CE2F0C0_.wvu.FilterData" localSheetId="8" hidden="1">'Физ. культура и спорт'!$A$10:$S$303</definedName>
    <definedName name="Z_FB9F6257_6C04_42F3_9B20_CD739CE2F0C0_.wvu.PrintArea" localSheetId="1" hidden="1">'Культура и искусство'!$A$1:$R$298</definedName>
    <definedName name="Z_FB9F6257_6C04_42F3_9B20_CD739CE2F0C0_.wvu.PrintArea" localSheetId="2" hidden="1">'Норильские новости'!$A$1:$Q$19</definedName>
    <definedName name="Z_FB9F6257_6C04_42F3_9B20_CD739CE2F0C0_.wvu.PrintArea" localSheetId="6" hidden="1">Образование!$A$1:$R$1773</definedName>
    <definedName name="Z_FB9F6257_6C04_42F3_9B20_CD739CE2F0C0_.wvu.PrintArea" localSheetId="8" hidden="1">'Физ. культура и спорт'!$A$1:$R$303</definedName>
    <definedName name="Z_FB9F6257_6C04_42F3_9B20_CD739CE2F0C0_.wvu.PrintTitles" localSheetId="1" hidden="1">'Культура и искусство'!$8:$11</definedName>
    <definedName name="Z_FB9F6257_6C04_42F3_9B20_CD739CE2F0C0_.wvu.PrintTitles" localSheetId="6" hidden="1">Образование!$8:$11</definedName>
    <definedName name="Z_FB9F6257_6C04_42F3_9B20_CD739CE2F0C0_.wvu.PrintTitles" localSheetId="8" hidden="1">'Физ. культура и спорт'!$8:$11</definedName>
    <definedName name="Z_FC85F26C_9B9B_4506_B5EB_E996D84C9448_.wvu.FilterData" localSheetId="8" hidden="1">'Физ. культура и спорт'!$A$11:$S$303</definedName>
    <definedName name="_xlnm.Print_Titles" localSheetId="1">'Культура и искусство'!$8:$11</definedName>
    <definedName name="_xlnm.Print_Titles" localSheetId="5">НЦБД!#REF!</definedName>
    <definedName name="_xlnm.Print_Titles" localSheetId="6">Образование!$8:$11</definedName>
    <definedName name="_xlnm.Print_Titles" localSheetId="8">'Физ. культура и спорт'!$8:$11</definedName>
    <definedName name="_xlnm.Print_Titles" localSheetId="3">'Центр развития туризма'!#REF!</definedName>
    <definedName name="_xlnm.Print_Area" localSheetId="1">'Культура и искусство'!$A$1:$U$298</definedName>
    <definedName name="_xlnm.Print_Area" localSheetId="2">'Норильские новости'!$A$1:$Q$25</definedName>
    <definedName name="_xlnm.Print_Area" localSheetId="5">НЦБД!$A$1:$Q$18</definedName>
    <definedName name="_xlnm.Print_Area" localSheetId="6">Образование!$A$1:$S$1779</definedName>
    <definedName name="_xlnm.Print_Area" localSheetId="0">'СВОД 25'!$A$1:$E$11</definedName>
    <definedName name="_xlnm.Print_Area" localSheetId="4">Транспорт!$A$1:$Q$20</definedName>
    <definedName name="_xlnm.Print_Area" localSheetId="8">'Физ. культура и спорт'!$A$1:$S$392</definedName>
    <definedName name="_xlnm.Print_Area" localSheetId="3">'Центр развития туризма'!$A$1:$Q$19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8" i="20" l="1"/>
  <c r="O1673" i="1" l="1"/>
  <c r="O1672" i="1"/>
  <c r="P1674" i="1" l="1"/>
  <c r="O938" i="1" l="1"/>
  <c r="P943" i="1" s="1"/>
  <c r="O931" i="1"/>
  <c r="H332" i="20" l="1"/>
  <c r="H331" i="20"/>
  <c r="H310" i="20" l="1"/>
  <c r="H309" i="20"/>
  <c r="I72" i="18" l="1"/>
  <c r="O18" i="16" l="1"/>
  <c r="N14" i="16"/>
  <c r="G14" i="16"/>
  <c r="O14" i="16"/>
  <c r="H388" i="20" l="1"/>
  <c r="H380" i="20"/>
  <c r="I382" i="20" s="1"/>
  <c r="H368" i="20"/>
  <c r="I370" i="20" s="1"/>
  <c r="I350" i="20"/>
  <c r="I325" i="20"/>
  <c r="H320" i="20"/>
  <c r="I322" i="20" s="1"/>
  <c r="H317" i="20"/>
  <c r="I318" i="20" s="1"/>
  <c r="H313" i="20"/>
  <c r="I315" i="20" s="1"/>
  <c r="O388" i="20"/>
  <c r="P389" i="20" s="1"/>
  <c r="Q389" i="20" s="1"/>
  <c r="J388" i="20"/>
  <c r="K387" i="20"/>
  <c r="J387" i="20"/>
  <c r="O384" i="20"/>
  <c r="P386" i="20" s="1"/>
  <c r="J384" i="20"/>
  <c r="H384" i="20"/>
  <c r="I386" i="20" s="1"/>
  <c r="K383" i="20"/>
  <c r="J383" i="20"/>
  <c r="O380" i="20"/>
  <c r="P382" i="20" s="1"/>
  <c r="J380" i="20"/>
  <c r="K379" i="20"/>
  <c r="J379" i="20"/>
  <c r="H377" i="20"/>
  <c r="H376" i="20"/>
  <c r="O375" i="20"/>
  <c r="P378" i="20" s="1"/>
  <c r="J375" i="20"/>
  <c r="K374" i="20"/>
  <c r="J374" i="20"/>
  <c r="I373" i="20"/>
  <c r="O372" i="20"/>
  <c r="P373" i="20" s="1"/>
  <c r="K371" i="20"/>
  <c r="O368" i="20"/>
  <c r="P370" i="20" s="1"/>
  <c r="J368" i="20"/>
  <c r="K367" i="20"/>
  <c r="H365" i="20"/>
  <c r="H364" i="20"/>
  <c r="O363" i="20"/>
  <c r="P366" i="20" s="1"/>
  <c r="J363" i="20"/>
  <c r="K362" i="20"/>
  <c r="J362" i="20"/>
  <c r="I361" i="20"/>
  <c r="O360" i="20"/>
  <c r="P361" i="20" s="1"/>
  <c r="K359" i="20"/>
  <c r="H357" i="20"/>
  <c r="H356" i="20"/>
  <c r="O355" i="20"/>
  <c r="P358" i="20" s="1"/>
  <c r="J355" i="20"/>
  <c r="K354" i="20"/>
  <c r="J354" i="20"/>
  <c r="I353" i="20"/>
  <c r="O352" i="20"/>
  <c r="P353" i="20" s="1"/>
  <c r="K351" i="20"/>
  <c r="O348" i="20"/>
  <c r="P350" i="20" s="1"/>
  <c r="J348" i="20"/>
  <c r="K347" i="20"/>
  <c r="J347" i="20"/>
  <c r="O344" i="20"/>
  <c r="P346" i="20" s="1"/>
  <c r="J344" i="20"/>
  <c r="H344" i="20"/>
  <c r="I346" i="20" s="1"/>
  <c r="K343" i="20"/>
  <c r="J343" i="20"/>
  <c r="H341" i="20"/>
  <c r="H340" i="20"/>
  <c r="O339" i="20"/>
  <c r="P342" i="20" s="1"/>
  <c r="J339" i="20"/>
  <c r="K338" i="20"/>
  <c r="J338" i="20"/>
  <c r="O335" i="20"/>
  <c r="P337" i="20" s="1"/>
  <c r="J335" i="20"/>
  <c r="H335" i="20"/>
  <c r="I337" i="20" s="1"/>
  <c r="K334" i="20"/>
  <c r="J334" i="20"/>
  <c r="O330" i="20"/>
  <c r="P333" i="20" s="1"/>
  <c r="K329" i="20"/>
  <c r="J329" i="20"/>
  <c r="I328" i="20"/>
  <c r="O327" i="20"/>
  <c r="P328" i="20" s="1"/>
  <c r="K326" i="20"/>
  <c r="J326" i="20"/>
  <c r="O320" i="20"/>
  <c r="P322" i="20" s="1"/>
  <c r="J320" i="20"/>
  <c r="K319" i="20"/>
  <c r="J319" i="20"/>
  <c r="O317" i="20"/>
  <c r="P318" i="20" s="1"/>
  <c r="J317" i="20"/>
  <c r="K316" i="20"/>
  <c r="J316" i="20"/>
  <c r="O313" i="20"/>
  <c r="P315" i="20" s="1"/>
  <c r="J313" i="20"/>
  <c r="K312" i="20"/>
  <c r="J312" i="20"/>
  <c r="O308" i="20"/>
  <c r="P311" i="20" s="1"/>
  <c r="J308" i="20"/>
  <c r="K307" i="20"/>
  <c r="I306" i="20"/>
  <c r="O305" i="20"/>
  <c r="P306" i="20" s="1"/>
  <c r="K304" i="20"/>
  <c r="O302" i="20"/>
  <c r="P303" i="20" s="1"/>
  <c r="J302" i="20"/>
  <c r="H302" i="20"/>
  <c r="I303" i="20" s="1"/>
  <c r="Q303" i="20" s="1"/>
  <c r="K301" i="20"/>
  <c r="J301" i="20"/>
  <c r="I300" i="20"/>
  <c r="O298" i="20"/>
  <c r="P300" i="20" s="1"/>
  <c r="K297" i="20"/>
  <c r="J297" i="20"/>
  <c r="I296" i="20"/>
  <c r="O294" i="20"/>
  <c r="P296" i="20" s="1"/>
  <c r="K293" i="20"/>
  <c r="J293" i="20"/>
  <c r="I292" i="20"/>
  <c r="O290" i="20"/>
  <c r="P292" i="20" s="1"/>
  <c r="J290" i="20"/>
  <c r="K289" i="20"/>
  <c r="J289" i="20"/>
  <c r="I288" i="20"/>
  <c r="O286" i="20"/>
  <c r="P288" i="20" s="1"/>
  <c r="J286" i="20"/>
  <c r="K285" i="20"/>
  <c r="J285" i="20"/>
  <c r="I284" i="20"/>
  <c r="O282" i="20"/>
  <c r="P284" i="20" s="1"/>
  <c r="J282" i="20"/>
  <c r="K281" i="20"/>
  <c r="J281" i="20"/>
  <c r="O279" i="20"/>
  <c r="P280" i="20" s="1"/>
  <c r="J279" i="20"/>
  <c r="H279" i="20"/>
  <c r="I280" i="20" s="1"/>
  <c r="K278" i="20"/>
  <c r="J278" i="20"/>
  <c r="O276" i="20"/>
  <c r="P277" i="20" s="1"/>
  <c r="Q277" i="20" s="1"/>
  <c r="J276" i="20"/>
  <c r="K275" i="20"/>
  <c r="J275" i="20"/>
  <c r="I274" i="20"/>
  <c r="O272" i="20"/>
  <c r="P274" i="20" s="1"/>
  <c r="J272" i="20"/>
  <c r="K271" i="20"/>
  <c r="J271" i="20"/>
  <c r="I270" i="20"/>
  <c r="O268" i="20"/>
  <c r="P270" i="20" s="1"/>
  <c r="J268" i="20"/>
  <c r="K267" i="20"/>
  <c r="J267" i="20"/>
  <c r="I266" i="20"/>
  <c r="O264" i="20"/>
  <c r="P266" i="20" s="1"/>
  <c r="K263" i="20"/>
  <c r="J263" i="20"/>
  <c r="I262" i="20"/>
  <c r="O260" i="20"/>
  <c r="P262" i="20" s="1"/>
  <c r="J260" i="20"/>
  <c r="K259" i="20"/>
  <c r="J259" i="20"/>
  <c r="O257" i="20"/>
  <c r="P258" i="20" s="1"/>
  <c r="J257" i="20"/>
  <c r="H257" i="20"/>
  <c r="I258" i="20" s="1"/>
  <c r="K256" i="20"/>
  <c r="J256" i="20"/>
  <c r="O254" i="20"/>
  <c r="P255" i="20" s="1"/>
  <c r="Q255" i="20" s="1"/>
  <c r="K253" i="20"/>
  <c r="I252" i="20"/>
  <c r="O250" i="20"/>
  <c r="P252" i="20" s="1"/>
  <c r="J250" i="20"/>
  <c r="K249" i="20"/>
  <c r="J249" i="20"/>
  <c r="I248" i="20"/>
  <c r="O246" i="20"/>
  <c r="P248" i="20" s="1"/>
  <c r="J246" i="20"/>
  <c r="K245" i="20"/>
  <c r="J245" i="20"/>
  <c r="I244" i="20"/>
  <c r="O242" i="20"/>
  <c r="P244" i="20" s="1"/>
  <c r="J242" i="20"/>
  <c r="K241" i="20"/>
  <c r="J241" i="20"/>
  <c r="I240" i="20"/>
  <c r="O238" i="20"/>
  <c r="P240" i="20" s="1"/>
  <c r="K237" i="20"/>
  <c r="O235" i="20"/>
  <c r="P236" i="20" s="1"/>
  <c r="H235" i="20"/>
  <c r="I236" i="20" s="1"/>
  <c r="K234" i="20"/>
  <c r="O232" i="20"/>
  <c r="P233" i="20" s="1"/>
  <c r="Q233" i="20" s="1"/>
  <c r="K231" i="20"/>
  <c r="I230" i="20"/>
  <c r="O228" i="20"/>
  <c r="P230" i="20" s="1"/>
  <c r="K227" i="20"/>
  <c r="I226" i="20"/>
  <c r="O224" i="20"/>
  <c r="P226" i="20" s="1"/>
  <c r="K223" i="20"/>
  <c r="I222" i="20"/>
  <c r="O220" i="20"/>
  <c r="P222" i="20" s="1"/>
  <c r="K219" i="20"/>
  <c r="I218" i="20"/>
  <c r="O216" i="20"/>
  <c r="P218" i="20" s="1"/>
  <c r="K215" i="20"/>
  <c r="I214" i="20"/>
  <c r="O212" i="20"/>
  <c r="P214" i="20" s="1"/>
  <c r="K211" i="20"/>
  <c r="I210" i="20"/>
  <c r="O208" i="20"/>
  <c r="P210" i="20" s="1"/>
  <c r="K207" i="20"/>
  <c r="I206" i="20"/>
  <c r="O204" i="20"/>
  <c r="P206" i="20" s="1"/>
  <c r="K203" i="20"/>
  <c r="I202" i="20"/>
  <c r="O200" i="20"/>
  <c r="P202" i="20" s="1"/>
  <c r="K199" i="20"/>
  <c r="O197" i="20"/>
  <c r="P198" i="20" s="1"/>
  <c r="J197" i="20"/>
  <c r="H197" i="20"/>
  <c r="I198" i="20" s="1"/>
  <c r="K196" i="20"/>
  <c r="J196" i="20"/>
  <c r="O194" i="20"/>
  <c r="P195" i="20" s="1"/>
  <c r="Q195" i="20" s="1"/>
  <c r="K193" i="20"/>
  <c r="I192" i="20"/>
  <c r="O190" i="20"/>
  <c r="P192" i="20" s="1"/>
  <c r="J190" i="20"/>
  <c r="K189" i="20"/>
  <c r="J189" i="20"/>
  <c r="I188" i="20"/>
  <c r="O186" i="20"/>
  <c r="P188" i="20" s="1"/>
  <c r="J186" i="20"/>
  <c r="K185" i="20"/>
  <c r="J185" i="20"/>
  <c r="I184" i="20"/>
  <c r="O182" i="20"/>
  <c r="P184" i="20" s="1"/>
  <c r="J182" i="20"/>
  <c r="K181" i="20"/>
  <c r="J181" i="20"/>
  <c r="I180" i="20"/>
  <c r="O178" i="20"/>
  <c r="P180" i="20" s="1"/>
  <c r="J178" i="20"/>
  <c r="K177" i="20"/>
  <c r="J177" i="20"/>
  <c r="I176" i="20"/>
  <c r="O174" i="20"/>
  <c r="P176" i="20" s="1"/>
  <c r="J174" i="20"/>
  <c r="K173" i="20"/>
  <c r="J173" i="20"/>
  <c r="I172" i="20"/>
  <c r="O170" i="20"/>
  <c r="P172" i="20" s="1"/>
  <c r="J170" i="20"/>
  <c r="K169" i="20"/>
  <c r="J169" i="20"/>
  <c r="I168" i="20"/>
  <c r="O166" i="20"/>
  <c r="P168" i="20" s="1"/>
  <c r="J166" i="20"/>
  <c r="J165" i="20"/>
  <c r="I164" i="20"/>
  <c r="O162" i="20"/>
  <c r="P164" i="20" s="1"/>
  <c r="K161" i="20"/>
  <c r="I160" i="20"/>
  <c r="O158" i="20"/>
  <c r="P160" i="20" s="1"/>
  <c r="K157" i="20"/>
  <c r="O155" i="20"/>
  <c r="P156" i="20" s="1"/>
  <c r="J155" i="20"/>
  <c r="H155" i="20"/>
  <c r="I156" i="20" s="1"/>
  <c r="Q156" i="20" s="1"/>
  <c r="K154" i="20"/>
  <c r="J154" i="20"/>
  <c r="O152" i="20"/>
  <c r="P153" i="20" s="1"/>
  <c r="Q153" i="20" s="1"/>
  <c r="J152" i="20"/>
  <c r="K151" i="20"/>
  <c r="J151" i="20"/>
  <c r="I150" i="20"/>
  <c r="O148" i="20"/>
  <c r="P150" i="20" s="1"/>
  <c r="J148" i="20"/>
  <c r="K147" i="20"/>
  <c r="J147" i="20"/>
  <c r="I146" i="20"/>
  <c r="O144" i="20"/>
  <c r="P146" i="20" s="1"/>
  <c r="K143" i="20"/>
  <c r="J143" i="20"/>
  <c r="I142" i="20"/>
  <c r="O140" i="20"/>
  <c r="P142" i="20" s="1"/>
  <c r="K139" i="20"/>
  <c r="J139" i="20"/>
  <c r="I138" i="20"/>
  <c r="O136" i="20"/>
  <c r="P138" i="20" s="1"/>
  <c r="K135" i="20"/>
  <c r="J135" i="20"/>
  <c r="I134" i="20"/>
  <c r="O132" i="20"/>
  <c r="P134" i="20" s="1"/>
  <c r="K131" i="20"/>
  <c r="J131" i="20"/>
  <c r="I130" i="20"/>
  <c r="O128" i="20"/>
  <c r="P130" i="20" s="1"/>
  <c r="J128" i="20"/>
  <c r="K127" i="20"/>
  <c r="J127" i="20"/>
  <c r="I126" i="20"/>
  <c r="O124" i="20"/>
  <c r="P126" i="20" s="1"/>
  <c r="J124" i="20"/>
  <c r="K123" i="20"/>
  <c r="J123" i="20"/>
  <c r="I122" i="20"/>
  <c r="O120" i="20"/>
  <c r="P122" i="20" s="1"/>
  <c r="J120" i="20"/>
  <c r="K119" i="20"/>
  <c r="J119" i="20"/>
  <c r="I118" i="20"/>
  <c r="O116" i="20"/>
  <c r="P118" i="20" s="1"/>
  <c r="J116" i="20"/>
  <c r="K115" i="20"/>
  <c r="I114" i="20"/>
  <c r="O112" i="20"/>
  <c r="P114" i="20" s="1"/>
  <c r="K111" i="20"/>
  <c r="I110" i="20"/>
  <c r="O108" i="20"/>
  <c r="P110" i="20" s="1"/>
  <c r="J108" i="20"/>
  <c r="K107" i="20"/>
  <c r="J107" i="20"/>
  <c r="I106" i="20"/>
  <c r="O104" i="20"/>
  <c r="P106" i="20" s="1"/>
  <c r="J104" i="20"/>
  <c r="K103" i="20"/>
  <c r="J103" i="20"/>
  <c r="I102" i="20"/>
  <c r="O100" i="20"/>
  <c r="P102" i="20" s="1"/>
  <c r="J100" i="20"/>
  <c r="K99" i="20"/>
  <c r="J99" i="20"/>
  <c r="I98" i="20"/>
  <c r="O96" i="20"/>
  <c r="P98" i="20" s="1"/>
  <c r="J96" i="20"/>
  <c r="K95" i="20"/>
  <c r="J95" i="20"/>
  <c r="I94" i="20"/>
  <c r="O92" i="20"/>
  <c r="P94" i="20" s="1"/>
  <c r="J92" i="20"/>
  <c r="K91" i="20"/>
  <c r="J91" i="20"/>
  <c r="I90" i="20"/>
  <c r="O88" i="20"/>
  <c r="P90" i="20" s="1"/>
  <c r="K87" i="20"/>
  <c r="I86" i="20"/>
  <c r="O85" i="20"/>
  <c r="P86" i="20" s="1"/>
  <c r="K84" i="20"/>
  <c r="O82" i="20"/>
  <c r="P83" i="20" s="1"/>
  <c r="H82" i="20"/>
  <c r="I83" i="20" s="1"/>
  <c r="K81" i="20"/>
  <c r="O79" i="20"/>
  <c r="P80" i="20" s="1"/>
  <c r="Q80" i="20" s="1"/>
  <c r="K78" i="20"/>
  <c r="I77" i="20"/>
  <c r="O75" i="20"/>
  <c r="P77" i="20" s="1"/>
  <c r="K74" i="20"/>
  <c r="I73" i="20"/>
  <c r="O71" i="20"/>
  <c r="P73" i="20" s="1"/>
  <c r="K70" i="20"/>
  <c r="I69" i="20"/>
  <c r="O67" i="20"/>
  <c r="P69" i="20" s="1"/>
  <c r="K66" i="20"/>
  <c r="I65" i="20"/>
  <c r="O63" i="20"/>
  <c r="P65" i="20" s="1"/>
  <c r="K62" i="20"/>
  <c r="I61" i="20"/>
  <c r="O59" i="20"/>
  <c r="P61" i="20" s="1"/>
  <c r="K58" i="20"/>
  <c r="I57" i="20"/>
  <c r="O55" i="20"/>
  <c r="P57" i="20" s="1"/>
  <c r="K54" i="20"/>
  <c r="I53" i="20"/>
  <c r="O51" i="20"/>
  <c r="P53" i="20" s="1"/>
  <c r="J51" i="20"/>
  <c r="K50" i="20"/>
  <c r="J50" i="20"/>
  <c r="I49" i="20"/>
  <c r="O47" i="20"/>
  <c r="P49" i="20" s="1"/>
  <c r="J47" i="20"/>
  <c r="K46" i="20"/>
  <c r="J46" i="20"/>
  <c r="I45" i="20"/>
  <c r="O43" i="20"/>
  <c r="P45" i="20" s="1"/>
  <c r="J43" i="20"/>
  <c r="K42" i="20"/>
  <c r="J42" i="20"/>
  <c r="I41" i="20"/>
  <c r="O39" i="20"/>
  <c r="P41" i="20" s="1"/>
  <c r="J39" i="20"/>
  <c r="K38" i="20"/>
  <c r="J38" i="20"/>
  <c r="I37" i="20"/>
  <c r="O35" i="20"/>
  <c r="P37" i="20" s="1"/>
  <c r="J35" i="20"/>
  <c r="K34" i="20"/>
  <c r="J34" i="20"/>
  <c r="O32" i="20"/>
  <c r="P33" i="20" s="1"/>
  <c r="J32" i="20"/>
  <c r="H32" i="20"/>
  <c r="I33" i="20" s="1"/>
  <c r="Q33" i="20" s="1"/>
  <c r="K31" i="20"/>
  <c r="J31" i="20"/>
  <c r="O29" i="20"/>
  <c r="P30" i="20" s="1"/>
  <c r="Q30" i="20" s="1"/>
  <c r="J29" i="20"/>
  <c r="K28" i="20"/>
  <c r="J28" i="20"/>
  <c r="I27" i="20"/>
  <c r="O25" i="20"/>
  <c r="P27" i="20" s="1"/>
  <c r="J25" i="20"/>
  <c r="K24" i="20"/>
  <c r="J24" i="20"/>
  <c r="I23" i="20"/>
  <c r="O21" i="20"/>
  <c r="P23" i="20" s="1"/>
  <c r="J21" i="20"/>
  <c r="K20" i="20"/>
  <c r="J20" i="20"/>
  <c r="I19" i="20"/>
  <c r="O17" i="20"/>
  <c r="P19" i="20" s="1"/>
  <c r="J17" i="20"/>
  <c r="K16" i="20"/>
  <c r="J16" i="20"/>
  <c r="I15" i="20"/>
  <c r="O13" i="20"/>
  <c r="P15" i="20" s="1"/>
  <c r="K12" i="20"/>
  <c r="Q296" i="20" l="1"/>
  <c r="I311" i="20"/>
  <c r="Q311" i="20" s="1"/>
  <c r="I333" i="20"/>
  <c r="Q333" i="20" s="1"/>
  <c r="Q19" i="20"/>
  <c r="Q27" i="20"/>
  <c r="Q41" i="20"/>
  <c r="Q49" i="20"/>
  <c r="Q57" i="20"/>
  <c r="Q65" i="20"/>
  <c r="Q73" i="20"/>
  <c r="Q83" i="20"/>
  <c r="Q90" i="20"/>
  <c r="Q98" i="20"/>
  <c r="Q106" i="20"/>
  <c r="Q114" i="20"/>
  <c r="Q164" i="20"/>
  <c r="Q236" i="20"/>
  <c r="Q244" i="20"/>
  <c r="Q252" i="20"/>
  <c r="Q350" i="20"/>
  <c r="I358" i="20"/>
  <c r="Q358" i="20" s="1"/>
  <c r="I378" i="20"/>
  <c r="Q378" i="20" s="1"/>
  <c r="Q258" i="20"/>
  <c r="Q118" i="20"/>
  <c r="Q126" i="20"/>
  <c r="Q150" i="20"/>
  <c r="Q168" i="20"/>
  <c r="Q176" i="20"/>
  <c r="Q184" i="20"/>
  <c r="Q192" i="20"/>
  <c r="Q198" i="20"/>
  <c r="Q206" i="20"/>
  <c r="Q214" i="20"/>
  <c r="Q222" i="20"/>
  <c r="Q230" i="20"/>
  <c r="Q270" i="20"/>
  <c r="Q284" i="20"/>
  <c r="Q292" i="20"/>
  <c r="Q300" i="20"/>
  <c r="Q337" i="20"/>
  <c r="I366" i="20"/>
  <c r="Q366" i="20" s="1"/>
  <c r="Q370" i="20"/>
  <c r="Q318" i="20"/>
  <c r="Q15" i="20"/>
  <c r="Q23" i="20"/>
  <c r="Q37" i="20"/>
  <c r="Q45" i="20"/>
  <c r="Q53" i="20"/>
  <c r="Q61" i="20"/>
  <c r="Q69" i="20"/>
  <c r="Q77" i="20"/>
  <c r="Q122" i="20"/>
  <c r="Q130" i="20"/>
  <c r="Q138" i="20"/>
  <c r="Q146" i="20"/>
  <c r="Q160" i="20"/>
  <c r="Q266" i="20"/>
  <c r="Q274" i="20"/>
  <c r="Q306" i="20"/>
  <c r="Q328" i="20"/>
  <c r="Q346" i="20"/>
  <c r="Q353" i="20"/>
  <c r="Q361" i="20"/>
  <c r="Q86" i="20"/>
  <c r="Q94" i="20"/>
  <c r="Q102" i="20"/>
  <c r="Q110" i="20"/>
  <c r="Q134" i="20"/>
  <c r="Q142" i="20"/>
  <c r="Q172" i="20"/>
  <c r="Q180" i="20"/>
  <c r="Q188" i="20"/>
  <c r="Q202" i="20"/>
  <c r="Q210" i="20"/>
  <c r="Q218" i="20"/>
  <c r="Q226" i="20"/>
  <c r="Q240" i="20"/>
  <c r="Q248" i="20"/>
  <c r="Q262" i="20"/>
  <c r="Q280" i="20"/>
  <c r="Q288" i="20"/>
  <c r="Q315" i="20"/>
  <c r="Q322" i="20"/>
  <c r="I342" i="20"/>
  <c r="Q342" i="20" s="1"/>
  <c r="Q373" i="20"/>
  <c r="Q382" i="20"/>
  <c r="Q386" i="20"/>
  <c r="D7" i="19" l="1"/>
  <c r="C7" i="19"/>
  <c r="B7" i="19"/>
  <c r="E7" i="19" s="1"/>
  <c r="E6" i="19"/>
  <c r="E5" i="19"/>
  <c r="E4" i="19"/>
  <c r="E3" i="19"/>
  <c r="E2" i="19"/>
  <c r="H297" i="18"/>
  <c r="I298" i="18" s="1"/>
  <c r="O295" i="18"/>
  <c r="P298" i="18" s="1"/>
  <c r="K294" i="18"/>
  <c r="I293" i="18"/>
  <c r="O291" i="18"/>
  <c r="P293" i="18" s="1"/>
  <c r="I289" i="18"/>
  <c r="O287" i="18"/>
  <c r="P289" i="18" s="1"/>
  <c r="J287" i="18"/>
  <c r="K286" i="18"/>
  <c r="J286" i="18"/>
  <c r="I285" i="18"/>
  <c r="O283" i="18"/>
  <c r="P285" i="18" s="1"/>
  <c r="J283" i="18"/>
  <c r="K282" i="18"/>
  <c r="J282" i="18"/>
  <c r="I281" i="18"/>
  <c r="O279" i="18"/>
  <c r="P281" i="18" s="1"/>
  <c r="J279" i="18"/>
  <c r="K278" i="18"/>
  <c r="J278" i="18"/>
  <c r="I277" i="18"/>
  <c r="O275" i="18"/>
  <c r="P277" i="18" s="1"/>
  <c r="J275" i="18"/>
  <c r="K274" i="18"/>
  <c r="J274" i="18"/>
  <c r="I273" i="18"/>
  <c r="O271" i="18"/>
  <c r="P273" i="18" s="1"/>
  <c r="J271" i="18"/>
  <c r="K270" i="18"/>
  <c r="J270" i="18"/>
  <c r="H268" i="18"/>
  <c r="I269" i="18" s="1"/>
  <c r="O266" i="18"/>
  <c r="P269" i="18" s="1"/>
  <c r="J266" i="18"/>
  <c r="K265" i="18"/>
  <c r="J265" i="18"/>
  <c r="I264" i="18"/>
  <c r="O262" i="18"/>
  <c r="P264" i="18" s="1"/>
  <c r="J262" i="18"/>
  <c r="K261" i="18"/>
  <c r="J261" i="18"/>
  <c r="I260" i="18"/>
  <c r="J259" i="18"/>
  <c r="O258" i="18"/>
  <c r="P260" i="18" s="1"/>
  <c r="J258" i="18"/>
  <c r="K257" i="18"/>
  <c r="J257" i="18"/>
  <c r="I256" i="18"/>
  <c r="O254" i="18"/>
  <c r="P256" i="18" s="1"/>
  <c r="J254" i="18"/>
  <c r="K253" i="18"/>
  <c r="J253" i="18"/>
  <c r="I252" i="18"/>
  <c r="O250" i="18"/>
  <c r="P252" i="18" s="1"/>
  <c r="J250" i="18"/>
  <c r="K249" i="18"/>
  <c r="J249" i="18"/>
  <c r="I248" i="18"/>
  <c r="O246" i="18"/>
  <c r="P248" i="18" s="1"/>
  <c r="J246" i="18"/>
  <c r="K245" i="18"/>
  <c r="J245" i="18"/>
  <c r="I244" i="18"/>
  <c r="O242" i="18"/>
  <c r="P244" i="18" s="1"/>
  <c r="J242" i="18"/>
  <c r="K241" i="18"/>
  <c r="J241" i="18"/>
  <c r="I240" i="18"/>
  <c r="O238" i="18"/>
  <c r="P240" i="18" s="1"/>
  <c r="J238" i="18"/>
  <c r="K237" i="18"/>
  <c r="J237" i="18"/>
  <c r="I236" i="18"/>
  <c r="O234" i="18"/>
  <c r="P236" i="18" s="1"/>
  <c r="K233" i="18"/>
  <c r="I232" i="18"/>
  <c r="O230" i="18"/>
  <c r="P232" i="18" s="1"/>
  <c r="J230" i="18"/>
  <c r="K229" i="18"/>
  <c r="H227" i="18"/>
  <c r="I228" i="18" s="1"/>
  <c r="O225" i="18"/>
  <c r="P228" i="18" s="1"/>
  <c r="J225" i="18"/>
  <c r="K224" i="18"/>
  <c r="J224" i="18"/>
  <c r="I223" i="18"/>
  <c r="O221" i="18"/>
  <c r="P223" i="18" s="1"/>
  <c r="J221" i="18"/>
  <c r="K220" i="18"/>
  <c r="J220" i="18"/>
  <c r="I219" i="18"/>
  <c r="O217" i="18"/>
  <c r="P219" i="18" s="1"/>
  <c r="J217" i="18"/>
  <c r="K216" i="18"/>
  <c r="J216" i="18"/>
  <c r="I215" i="18"/>
  <c r="O213" i="18"/>
  <c r="P215" i="18" s="1"/>
  <c r="J213" i="18"/>
  <c r="K212" i="18"/>
  <c r="J212" i="18"/>
  <c r="I211" i="18"/>
  <c r="O209" i="18"/>
  <c r="P211" i="18" s="1"/>
  <c r="J209" i="18"/>
  <c r="K208" i="18"/>
  <c r="J208" i="18"/>
  <c r="I207" i="18"/>
  <c r="O205" i="18"/>
  <c r="P207" i="18" s="1"/>
  <c r="J205" i="18"/>
  <c r="K204" i="18"/>
  <c r="J204" i="18"/>
  <c r="I203" i="18"/>
  <c r="O201" i="18"/>
  <c r="P203" i="18" s="1"/>
  <c r="K200" i="18"/>
  <c r="I199" i="18"/>
  <c r="O197" i="18"/>
  <c r="P199" i="18" s="1"/>
  <c r="K196" i="18"/>
  <c r="H194" i="18"/>
  <c r="I195" i="18" s="1"/>
  <c r="O192" i="18"/>
  <c r="P195" i="18" s="1"/>
  <c r="J192" i="18"/>
  <c r="K191" i="18"/>
  <c r="J191" i="18"/>
  <c r="I190" i="18"/>
  <c r="O188" i="18"/>
  <c r="P190" i="18" s="1"/>
  <c r="J188" i="18"/>
  <c r="K187" i="18"/>
  <c r="J187" i="18"/>
  <c r="I186" i="18"/>
  <c r="O184" i="18"/>
  <c r="P186" i="18" s="1"/>
  <c r="J184" i="18"/>
  <c r="K183" i="18"/>
  <c r="J183" i="18"/>
  <c r="I182" i="18"/>
  <c r="O180" i="18"/>
  <c r="P182" i="18" s="1"/>
  <c r="J180" i="18"/>
  <c r="K179" i="18"/>
  <c r="J179" i="18"/>
  <c r="I178" i="18"/>
  <c r="O176" i="18"/>
  <c r="P178" i="18" s="1"/>
  <c r="J176" i="18"/>
  <c r="K175" i="18"/>
  <c r="J175" i="18"/>
  <c r="I174" i="18"/>
  <c r="O172" i="18"/>
  <c r="P174" i="18" s="1"/>
  <c r="K171" i="18"/>
  <c r="I170" i="18"/>
  <c r="O168" i="18"/>
  <c r="P170" i="18" s="1"/>
  <c r="K167" i="18"/>
  <c r="H165" i="18"/>
  <c r="I166" i="18" s="1"/>
  <c r="O163" i="18"/>
  <c r="P166" i="18" s="1"/>
  <c r="J163" i="18"/>
  <c r="K162" i="18"/>
  <c r="J162" i="18"/>
  <c r="I161" i="18"/>
  <c r="O159" i="18"/>
  <c r="P161" i="18" s="1"/>
  <c r="J159" i="18"/>
  <c r="K158" i="18"/>
  <c r="I157" i="18"/>
  <c r="O155" i="18"/>
  <c r="P157" i="18" s="1"/>
  <c r="K154" i="18"/>
  <c r="I153" i="18"/>
  <c r="O151" i="18"/>
  <c r="P153" i="18" s="1"/>
  <c r="K150" i="18"/>
  <c r="H148" i="18"/>
  <c r="I149" i="18" s="1"/>
  <c r="O146" i="18"/>
  <c r="P149" i="18" s="1"/>
  <c r="J146" i="18"/>
  <c r="K145" i="18"/>
  <c r="J145" i="18"/>
  <c r="I144" i="18"/>
  <c r="O142" i="18"/>
  <c r="P144" i="18" s="1"/>
  <c r="J142" i="18"/>
  <c r="K141" i="18"/>
  <c r="J141" i="18"/>
  <c r="I140" i="18"/>
  <c r="O138" i="18"/>
  <c r="P140" i="18" s="1"/>
  <c r="J138" i="18"/>
  <c r="K137" i="18"/>
  <c r="J137" i="18"/>
  <c r="I136" i="18"/>
  <c r="O134" i="18"/>
  <c r="P136" i="18" s="1"/>
  <c r="J134" i="18"/>
  <c r="K133" i="18"/>
  <c r="J133" i="18"/>
  <c r="I132" i="18"/>
  <c r="O130" i="18"/>
  <c r="P132" i="18" s="1"/>
  <c r="J130" i="18"/>
  <c r="K129" i="18"/>
  <c r="J129" i="18"/>
  <c r="I128" i="18"/>
  <c r="O126" i="18"/>
  <c r="P128" i="18" s="1"/>
  <c r="K125" i="18"/>
  <c r="I124" i="18"/>
  <c r="O122" i="18"/>
  <c r="P124" i="18" s="1"/>
  <c r="K121" i="18"/>
  <c r="O119" i="18"/>
  <c r="G119" i="18"/>
  <c r="H119" i="18" s="1"/>
  <c r="O118" i="18"/>
  <c r="G118" i="18"/>
  <c r="H118" i="18" s="1"/>
  <c r="I120" i="18" s="1"/>
  <c r="F118" i="18"/>
  <c r="O115" i="18"/>
  <c r="G115" i="18"/>
  <c r="F115" i="18"/>
  <c r="H115" i="18" s="1"/>
  <c r="O114" i="18"/>
  <c r="J114" i="18"/>
  <c r="G114" i="18"/>
  <c r="F114" i="18"/>
  <c r="J113" i="18"/>
  <c r="O111" i="18"/>
  <c r="J111" i="18"/>
  <c r="G111" i="18"/>
  <c r="F111" i="18"/>
  <c r="O110" i="18"/>
  <c r="J110" i="18"/>
  <c r="G110" i="18"/>
  <c r="H110" i="18" s="1"/>
  <c r="F110" i="18"/>
  <c r="K109" i="18"/>
  <c r="J109" i="18"/>
  <c r="O106" i="18"/>
  <c r="J106" i="18"/>
  <c r="G106" i="18"/>
  <c r="F106" i="18"/>
  <c r="O105" i="18"/>
  <c r="P108" i="18" s="1"/>
  <c r="J105" i="18"/>
  <c r="G105" i="18"/>
  <c r="F105" i="18"/>
  <c r="H105" i="18" s="1"/>
  <c r="K104" i="18"/>
  <c r="J104" i="18"/>
  <c r="O102" i="18"/>
  <c r="P103" i="18" s="1"/>
  <c r="J102" i="18"/>
  <c r="G102" i="18"/>
  <c r="F102" i="18"/>
  <c r="K101" i="18"/>
  <c r="J101" i="18"/>
  <c r="O98" i="18"/>
  <c r="P100" i="18" s="1"/>
  <c r="G98" i="18"/>
  <c r="F98" i="18"/>
  <c r="K97" i="18"/>
  <c r="J97" i="18"/>
  <c r="O95" i="18"/>
  <c r="G95" i="18"/>
  <c r="F95" i="18"/>
  <c r="H95" i="18" s="1"/>
  <c r="O94" i="18"/>
  <c r="J94" i="18"/>
  <c r="G94" i="18"/>
  <c r="F94" i="18"/>
  <c r="K93" i="18"/>
  <c r="J93" i="18"/>
  <c r="O91" i="18"/>
  <c r="G91" i="18"/>
  <c r="F91" i="18"/>
  <c r="H91" i="18" s="1"/>
  <c r="O90" i="18"/>
  <c r="J90" i="18"/>
  <c r="G90" i="18"/>
  <c r="F90" i="18"/>
  <c r="J89" i="18"/>
  <c r="O87" i="18"/>
  <c r="J87" i="18"/>
  <c r="G87" i="18"/>
  <c r="F87" i="18"/>
  <c r="O86" i="18"/>
  <c r="J86" i="18"/>
  <c r="G86" i="18"/>
  <c r="H86" i="18" s="1"/>
  <c r="F86" i="18"/>
  <c r="K85" i="18"/>
  <c r="J85" i="18"/>
  <c r="O82" i="18"/>
  <c r="J82" i="18"/>
  <c r="G82" i="18"/>
  <c r="F82" i="18"/>
  <c r="O81" i="18"/>
  <c r="P84" i="18" s="1"/>
  <c r="J81" i="18"/>
  <c r="G81" i="18"/>
  <c r="F81" i="18"/>
  <c r="H81" i="18" s="1"/>
  <c r="K80" i="18"/>
  <c r="J80" i="18"/>
  <c r="O78" i="18"/>
  <c r="P79" i="18" s="1"/>
  <c r="J78" i="18"/>
  <c r="G78" i="18"/>
  <c r="F78" i="18"/>
  <c r="K77" i="18"/>
  <c r="J77" i="18"/>
  <c r="O74" i="18"/>
  <c r="P76" i="18" s="1"/>
  <c r="G74" i="18"/>
  <c r="H74" i="18" s="1"/>
  <c r="I76" i="18" s="1"/>
  <c r="F74" i="18"/>
  <c r="K73" i="18"/>
  <c r="J73" i="18"/>
  <c r="O71" i="18"/>
  <c r="G71" i="18"/>
  <c r="F71" i="18"/>
  <c r="H71" i="18" s="1"/>
  <c r="O70" i="18"/>
  <c r="J70" i="18"/>
  <c r="G70" i="18"/>
  <c r="F70" i="18"/>
  <c r="K69" i="18"/>
  <c r="J69" i="18"/>
  <c r="O67" i="18"/>
  <c r="G67" i="18"/>
  <c r="F67" i="18"/>
  <c r="H67" i="18" s="1"/>
  <c r="O66" i="18"/>
  <c r="G66" i="18"/>
  <c r="F66" i="18"/>
  <c r="H66" i="18" s="1"/>
  <c r="I68" i="18" s="1"/>
  <c r="J65" i="18"/>
  <c r="O63" i="18"/>
  <c r="G63" i="18"/>
  <c r="F63" i="18"/>
  <c r="H63" i="18" s="1"/>
  <c r="O62" i="18"/>
  <c r="J62" i="18"/>
  <c r="G62" i="18"/>
  <c r="F62" i="18"/>
  <c r="K61" i="18"/>
  <c r="J61" i="18"/>
  <c r="O58" i="18"/>
  <c r="G58" i="18"/>
  <c r="F58" i="18"/>
  <c r="H58" i="18" s="1"/>
  <c r="O57" i="18"/>
  <c r="G57" i="18"/>
  <c r="F57" i="18"/>
  <c r="H57" i="18" s="1"/>
  <c r="K56" i="18"/>
  <c r="J56" i="18"/>
  <c r="O54" i="18"/>
  <c r="G54" i="18"/>
  <c r="F54" i="18"/>
  <c r="O53" i="18"/>
  <c r="J53" i="18"/>
  <c r="G53" i="18"/>
  <c r="F53" i="18"/>
  <c r="H53" i="18" s="1"/>
  <c r="I55" i="18" s="1"/>
  <c r="K52" i="18"/>
  <c r="J52" i="18"/>
  <c r="O50" i="18"/>
  <c r="G50" i="18"/>
  <c r="F50" i="18"/>
  <c r="O49" i="18"/>
  <c r="G49" i="18"/>
  <c r="F49" i="18"/>
  <c r="H49" i="18" s="1"/>
  <c r="I51" i="18" s="1"/>
  <c r="K48" i="18"/>
  <c r="J48" i="18"/>
  <c r="O46" i="18"/>
  <c r="P47" i="18" s="1"/>
  <c r="J46" i="18"/>
  <c r="G46" i="18"/>
  <c r="F46" i="18"/>
  <c r="H46" i="18" s="1"/>
  <c r="I47" i="18" s="1"/>
  <c r="K45" i="18"/>
  <c r="J45" i="18"/>
  <c r="O43" i="18"/>
  <c r="G43" i="18"/>
  <c r="F43" i="18"/>
  <c r="O42" i="18"/>
  <c r="J42" i="18"/>
  <c r="G42" i="18"/>
  <c r="F42" i="18"/>
  <c r="H42" i="18" s="1"/>
  <c r="I44" i="18" s="1"/>
  <c r="K41" i="18"/>
  <c r="J41" i="18"/>
  <c r="O38" i="18"/>
  <c r="P40" i="18" s="1"/>
  <c r="J38" i="18"/>
  <c r="G38" i="18"/>
  <c r="F38" i="18"/>
  <c r="K37" i="18"/>
  <c r="J37" i="18"/>
  <c r="O34" i="18"/>
  <c r="P36" i="18" s="1"/>
  <c r="G34" i="18"/>
  <c r="F34" i="18"/>
  <c r="K33" i="18"/>
  <c r="O31" i="18"/>
  <c r="P32" i="18" s="1"/>
  <c r="J31" i="18"/>
  <c r="H31" i="18"/>
  <c r="I32" i="18" s="1"/>
  <c r="K30" i="18"/>
  <c r="J30" i="18"/>
  <c r="O28" i="18"/>
  <c r="P29" i="18" s="1"/>
  <c r="J28" i="18"/>
  <c r="H28" i="18"/>
  <c r="I29" i="18" s="1"/>
  <c r="K27" i="18"/>
  <c r="J27" i="18"/>
  <c r="O25" i="18"/>
  <c r="P26" i="18" s="1"/>
  <c r="J25" i="18"/>
  <c r="G25" i="18"/>
  <c r="F25" i="18"/>
  <c r="K24" i="18"/>
  <c r="J24" i="18"/>
  <c r="O21" i="18"/>
  <c r="P23" i="18" s="1"/>
  <c r="H21" i="18"/>
  <c r="I23" i="18" s="1"/>
  <c r="K20" i="18"/>
  <c r="O18" i="18"/>
  <c r="G18" i="18"/>
  <c r="H18" i="18" s="1"/>
  <c r="F18" i="18"/>
  <c r="O17" i="18"/>
  <c r="J17" i="18"/>
  <c r="G17" i="18"/>
  <c r="F17" i="18"/>
  <c r="K16" i="18"/>
  <c r="J16" i="18"/>
  <c r="O13" i="18"/>
  <c r="P15" i="18" s="1"/>
  <c r="G13" i="18"/>
  <c r="F13" i="18"/>
  <c r="K12" i="18"/>
  <c r="P64" i="18" l="1"/>
  <c r="Q29" i="18"/>
  <c r="P72" i="18"/>
  <c r="H90" i="18"/>
  <c r="I92" i="18" s="1"/>
  <c r="Q32" i="18"/>
  <c r="H43" i="18"/>
  <c r="H62" i="18"/>
  <c r="I64" i="18" s="1"/>
  <c r="Q64" i="18" s="1"/>
  <c r="H70" i="18"/>
  <c r="Q72" i="18" s="1"/>
  <c r="H82" i="18"/>
  <c r="H94" i="18"/>
  <c r="I96" i="18" s="1"/>
  <c r="H106" i="18"/>
  <c r="I108" i="18" s="1"/>
  <c r="Q108" i="18" s="1"/>
  <c r="H54" i="18"/>
  <c r="H114" i="18"/>
  <c r="I116" i="18" s="1"/>
  <c r="H13" i="18"/>
  <c r="I15" i="18" s="1"/>
  <c r="H17" i="18"/>
  <c r="I19" i="18" s="1"/>
  <c r="H25" i="18"/>
  <c r="I26" i="18" s="1"/>
  <c r="Q26" i="18" s="1"/>
  <c r="H34" i="18"/>
  <c r="I36" i="18" s="1"/>
  <c r="H38" i="18"/>
  <c r="I40" i="18" s="1"/>
  <c r="H78" i="18"/>
  <c r="I79" i="18" s="1"/>
  <c r="Q79" i="18" s="1"/>
  <c r="H87" i="18"/>
  <c r="I88" i="18" s="1"/>
  <c r="Q88" i="18" s="1"/>
  <c r="H98" i="18"/>
  <c r="I100" i="18" s="1"/>
  <c r="H102" i="18"/>
  <c r="I103" i="18" s="1"/>
  <c r="Q103" i="18" s="1"/>
  <c r="H111" i="18"/>
  <c r="I112" i="18" s="1"/>
  <c r="P88" i="18"/>
  <c r="Q149" i="18"/>
  <c r="Q161" i="18"/>
  <c r="Q264" i="18"/>
  <c r="Q166" i="18"/>
  <c r="Q269" i="18"/>
  <c r="I84" i="18"/>
  <c r="Q84" i="18" s="1"/>
  <c r="P112" i="18"/>
  <c r="Q174" i="18"/>
  <c r="Q182" i="18"/>
  <c r="Q190" i="18"/>
  <c r="Q195" i="18"/>
  <c r="Q236" i="18"/>
  <c r="Q244" i="18"/>
  <c r="Q252" i="18"/>
  <c r="Q277" i="18"/>
  <c r="Q285" i="18"/>
  <c r="Q260" i="18"/>
  <c r="Q15" i="18"/>
  <c r="P19" i="18"/>
  <c r="Q23" i="18"/>
  <c r="Q36" i="18"/>
  <c r="Q40" i="18"/>
  <c r="P44" i="18"/>
  <c r="Q44" i="18" s="1"/>
  <c r="P51" i="18"/>
  <c r="Q51" i="18" s="1"/>
  <c r="P55" i="18"/>
  <c r="P60" i="18"/>
  <c r="P68" i="18"/>
  <c r="Q68" i="18" s="1"/>
  <c r="P92" i="18"/>
  <c r="P96" i="18"/>
  <c r="Q96" i="18" s="1"/>
  <c r="P116" i="18"/>
  <c r="Q116" i="18" s="1"/>
  <c r="Q128" i="18"/>
  <c r="Q136" i="18"/>
  <c r="Q144" i="18"/>
  <c r="Q157" i="18"/>
  <c r="Q203" i="18"/>
  <c r="Q211" i="18"/>
  <c r="Q219" i="18"/>
  <c r="Q228" i="18"/>
  <c r="Q298" i="18"/>
  <c r="I60" i="18"/>
  <c r="Q47" i="18"/>
  <c r="Q55" i="18"/>
  <c r="Q124" i="18"/>
  <c r="Q132" i="18"/>
  <c r="Q140" i="18"/>
  <c r="Q199" i="18"/>
  <c r="Q207" i="18"/>
  <c r="Q215" i="18"/>
  <c r="Q223" i="18"/>
  <c r="Q293" i="18"/>
  <c r="H50" i="18"/>
  <c r="Q76" i="18"/>
  <c r="Q100" i="18"/>
  <c r="P120" i="18"/>
  <c r="Q120" i="18" s="1"/>
  <c r="Q153" i="18"/>
  <c r="Q170" i="18"/>
  <c r="Q178" i="18"/>
  <c r="Q186" i="18"/>
  <c r="Q232" i="18"/>
  <c r="Q240" i="18"/>
  <c r="Q248" i="18"/>
  <c r="Q256" i="18"/>
  <c r="Q273" i="18"/>
  <c r="Q281" i="18"/>
  <c r="Q289" i="18"/>
  <c r="Q92" i="18" l="1"/>
  <c r="Q60" i="18"/>
  <c r="Q112" i="18"/>
  <c r="Q19" i="18"/>
  <c r="H27" i="17" l="1"/>
  <c r="H22" i="17"/>
  <c r="N39" i="17"/>
  <c r="F38" i="17"/>
  <c r="F37" i="17"/>
  <c r="H36" i="17"/>
  <c r="F36" i="17"/>
  <c r="I35" i="17"/>
  <c r="H35" i="17"/>
  <c r="N34" i="17"/>
  <c r="F33" i="17"/>
  <c r="F32" i="17"/>
  <c r="H31" i="17"/>
  <c r="F31" i="17"/>
  <c r="I30" i="17"/>
  <c r="H30" i="17"/>
  <c r="F28" i="17"/>
  <c r="F27" i="17"/>
  <c r="I26" i="17"/>
  <c r="H26" i="17"/>
  <c r="N25" i="17"/>
  <c r="F24" i="17"/>
  <c r="F23" i="17"/>
  <c r="F22" i="17"/>
  <c r="I21" i="17"/>
  <c r="H21" i="17"/>
  <c r="N20" i="17"/>
  <c r="F19" i="17"/>
  <c r="H18" i="17"/>
  <c r="F18" i="17"/>
  <c r="I17" i="17"/>
  <c r="H17" i="17"/>
  <c r="N16" i="17"/>
  <c r="F15" i="17"/>
  <c r="F14" i="17"/>
  <c r="F13" i="17"/>
  <c r="I12" i="17"/>
  <c r="H12" i="17"/>
  <c r="G16" i="17" l="1"/>
  <c r="O16" i="17" s="1"/>
  <c r="G39" i="17"/>
  <c r="G20" i="17"/>
  <c r="O20" i="17" s="1"/>
  <c r="G25" i="17"/>
  <c r="O25" i="17" s="1"/>
  <c r="G34" i="17"/>
  <c r="O34" i="17" s="1"/>
  <c r="O39" i="17"/>
  <c r="G18" i="16" l="1"/>
  <c r="M16" i="16"/>
  <c r="N18" i="16" s="1"/>
  <c r="H16" i="16"/>
  <c r="I15" i="16"/>
  <c r="H15" i="16"/>
  <c r="M12" i="16"/>
  <c r="I11" i="16"/>
  <c r="N20" i="6" l="1"/>
  <c r="G20" i="6"/>
  <c r="O20" i="6" s="1"/>
  <c r="M17" i="6"/>
  <c r="I16" i="6"/>
  <c r="N15" i="6"/>
  <c r="M13" i="6"/>
  <c r="F13" i="6"/>
  <c r="G15" i="6" s="1"/>
  <c r="O15" i="6" s="1"/>
  <c r="I12" i="6"/>
  <c r="H12" i="6"/>
  <c r="N19" i="5"/>
  <c r="G19" i="5"/>
  <c r="O19" i="5" s="1"/>
  <c r="M18" i="5"/>
  <c r="H18" i="5"/>
  <c r="H17" i="5"/>
  <c r="G16" i="5"/>
  <c r="M15" i="5"/>
  <c r="N16" i="5" s="1"/>
  <c r="O16" i="5" s="1"/>
  <c r="H15" i="5"/>
  <c r="I14" i="5"/>
  <c r="H14" i="5"/>
  <c r="N13" i="5"/>
  <c r="G13" i="5"/>
  <c r="O13" i="5" s="1"/>
  <c r="M12" i="5"/>
  <c r="F12" i="5"/>
  <c r="I11" i="5"/>
  <c r="F24" i="4"/>
  <c r="F23" i="4"/>
  <c r="M22" i="4"/>
  <c r="N25" i="4" s="1"/>
  <c r="F22" i="4"/>
  <c r="G25" i="4" s="1"/>
  <c r="O25" i="4" s="1"/>
  <c r="I21" i="4"/>
  <c r="H21" i="4"/>
  <c r="M19" i="4"/>
  <c r="M18" i="4"/>
  <c r="M17" i="4"/>
  <c r="M16" i="4"/>
  <c r="F16" i="4"/>
  <c r="M15" i="4"/>
  <c r="F15" i="4"/>
  <c r="M14" i="4"/>
  <c r="F14" i="4"/>
  <c r="M13" i="4"/>
  <c r="N20" i="4" s="1"/>
  <c r="F13" i="4"/>
  <c r="G20" i="4" s="1"/>
  <c r="O20" i="4" s="1"/>
  <c r="I12" i="4"/>
  <c r="O1777" i="1"/>
  <c r="O1776" i="1"/>
  <c r="J1776" i="1"/>
  <c r="H1776" i="1"/>
  <c r="O1775" i="1"/>
  <c r="J1775" i="1"/>
  <c r="H1775" i="1"/>
  <c r="I1778" i="1" s="1"/>
  <c r="K1774" i="1"/>
  <c r="J1774" i="1"/>
  <c r="O1772" i="1"/>
  <c r="H1772" i="1"/>
  <c r="I1773" i="1" s="1"/>
  <c r="P1773" i="1" s="1"/>
  <c r="Q1773" i="1" s="1"/>
  <c r="K1771" i="1"/>
  <c r="O1767" i="1"/>
  <c r="H1767" i="1"/>
  <c r="O1766" i="1"/>
  <c r="H1766" i="1"/>
  <c r="O1762" i="1"/>
  <c r="P1763" i="1" s="1"/>
  <c r="H1761" i="1"/>
  <c r="I1763" i="1" s="1"/>
  <c r="K1760" i="1"/>
  <c r="J1760" i="1"/>
  <c r="O1758" i="1"/>
  <c r="P1759" i="1" s="1"/>
  <c r="H1757" i="1"/>
  <c r="I1759" i="1" s="1"/>
  <c r="O1754" i="1"/>
  <c r="O1753" i="1"/>
  <c r="O1752" i="1"/>
  <c r="H1751" i="1"/>
  <c r="I1755" i="1" s="1"/>
  <c r="K1750" i="1"/>
  <c r="J1750" i="1"/>
  <c r="O1748" i="1"/>
  <c r="K1748" i="1"/>
  <c r="H1748" i="1"/>
  <c r="O1747" i="1"/>
  <c r="K1747" i="1"/>
  <c r="H1747" i="1"/>
  <c r="O1746" i="1"/>
  <c r="K1746" i="1"/>
  <c r="H1746" i="1"/>
  <c r="O1745" i="1"/>
  <c r="K1745" i="1"/>
  <c r="H1745" i="1"/>
  <c r="O1741" i="1"/>
  <c r="O1740" i="1"/>
  <c r="O1739" i="1"/>
  <c r="H1738" i="1"/>
  <c r="I1742" i="1" s="1"/>
  <c r="O1735" i="1"/>
  <c r="P1736" i="1" s="1"/>
  <c r="H1735" i="1"/>
  <c r="I1736" i="1" s="1"/>
  <c r="K1734" i="1"/>
  <c r="J1734" i="1"/>
  <c r="O1732" i="1"/>
  <c r="H1732" i="1"/>
  <c r="O1731" i="1"/>
  <c r="H1731" i="1"/>
  <c r="O1730" i="1"/>
  <c r="H1730" i="1"/>
  <c r="O1729" i="1"/>
  <c r="H1729" i="1"/>
  <c r="K1727" i="1"/>
  <c r="O1725" i="1"/>
  <c r="O1724" i="1"/>
  <c r="O1723" i="1"/>
  <c r="O1722" i="1"/>
  <c r="H1720" i="1"/>
  <c r="I1726" i="1" s="1"/>
  <c r="O1717" i="1"/>
  <c r="P1718" i="1" s="1"/>
  <c r="H1717" i="1"/>
  <c r="I1718" i="1" s="1"/>
  <c r="K1716" i="1"/>
  <c r="J1716" i="1"/>
  <c r="O1714" i="1"/>
  <c r="K1714" i="1"/>
  <c r="H1714" i="1"/>
  <c r="O1713" i="1"/>
  <c r="K1713" i="1"/>
  <c r="H1713" i="1"/>
  <c r="O1712" i="1"/>
  <c r="K1712" i="1"/>
  <c r="H1712" i="1"/>
  <c r="O1711" i="1"/>
  <c r="K1711" i="1"/>
  <c r="H1711" i="1"/>
  <c r="O1707" i="1"/>
  <c r="O1706" i="1"/>
  <c r="O1705" i="1"/>
  <c r="O1704" i="1"/>
  <c r="H1703" i="1"/>
  <c r="I1708" i="1" s="1"/>
  <c r="O1700" i="1"/>
  <c r="K1700" i="1"/>
  <c r="H1700" i="1"/>
  <c r="O1699" i="1"/>
  <c r="K1699" i="1"/>
  <c r="H1699" i="1"/>
  <c r="O1698" i="1"/>
  <c r="K1698" i="1"/>
  <c r="H1698" i="1"/>
  <c r="O1697" i="1"/>
  <c r="K1697" i="1"/>
  <c r="H1697" i="1"/>
  <c r="K1695" i="1"/>
  <c r="O1693" i="1"/>
  <c r="P1694" i="1" s="1"/>
  <c r="H1693" i="1"/>
  <c r="I1694" i="1" s="1"/>
  <c r="K1692" i="1"/>
  <c r="J1692" i="1"/>
  <c r="O1690" i="1"/>
  <c r="O1689" i="1"/>
  <c r="O1688" i="1"/>
  <c r="O1687" i="1"/>
  <c r="H1686" i="1"/>
  <c r="I1691" i="1" s="1"/>
  <c r="O1683" i="1"/>
  <c r="P1684" i="1" s="1"/>
  <c r="H1683" i="1"/>
  <c r="I1684" i="1" s="1"/>
  <c r="K1682" i="1"/>
  <c r="O1680" i="1"/>
  <c r="K1680" i="1"/>
  <c r="H1680" i="1"/>
  <c r="H1679" i="1"/>
  <c r="O1678" i="1"/>
  <c r="K1678" i="1"/>
  <c r="H1678" i="1"/>
  <c r="O1677" i="1"/>
  <c r="K1677" i="1"/>
  <c r="H1677" i="1"/>
  <c r="H1672" i="1"/>
  <c r="I1674" i="1" s="1"/>
  <c r="O1669" i="1"/>
  <c r="P1670" i="1" s="1"/>
  <c r="J1669" i="1"/>
  <c r="H1669" i="1"/>
  <c r="I1670" i="1" s="1"/>
  <c r="K1668" i="1"/>
  <c r="H1666" i="1"/>
  <c r="O1665" i="1"/>
  <c r="P1667" i="1" s="1"/>
  <c r="H1665" i="1"/>
  <c r="H1662" i="1"/>
  <c r="H1661" i="1"/>
  <c r="H1660" i="1"/>
  <c r="H1659" i="1"/>
  <c r="O1658" i="1"/>
  <c r="P1663" i="1" s="1"/>
  <c r="H1658" i="1"/>
  <c r="K1657" i="1"/>
  <c r="H1655" i="1"/>
  <c r="H1654" i="1"/>
  <c r="H1653" i="1"/>
  <c r="H1652" i="1"/>
  <c r="O1651" i="1"/>
  <c r="P1656" i="1" s="1"/>
  <c r="H1651" i="1"/>
  <c r="H1648" i="1"/>
  <c r="H1647" i="1"/>
  <c r="H1646" i="1"/>
  <c r="H1645" i="1"/>
  <c r="O1644" i="1"/>
  <c r="P1649" i="1" s="1"/>
  <c r="H1644" i="1"/>
  <c r="O1641" i="1"/>
  <c r="P1642" i="1" s="1"/>
  <c r="H1641" i="1"/>
  <c r="I1642" i="1" s="1"/>
  <c r="K1640" i="1"/>
  <c r="O1638" i="1"/>
  <c r="P1639" i="1" s="1"/>
  <c r="H1638" i="1"/>
  <c r="I1639" i="1" s="1"/>
  <c r="H1635" i="1"/>
  <c r="O1634" i="1"/>
  <c r="P1636" i="1" s="1"/>
  <c r="H1634" i="1"/>
  <c r="H1631" i="1"/>
  <c r="H1630" i="1"/>
  <c r="H1629" i="1"/>
  <c r="H1628" i="1"/>
  <c r="O1627" i="1"/>
  <c r="P1632" i="1" s="1"/>
  <c r="H1627" i="1"/>
  <c r="K1626" i="1"/>
  <c r="H1624" i="1"/>
  <c r="H1623" i="1"/>
  <c r="H1622" i="1"/>
  <c r="H1621" i="1"/>
  <c r="O1620" i="1"/>
  <c r="P1625" i="1" s="1"/>
  <c r="H1620" i="1"/>
  <c r="H1617" i="1"/>
  <c r="H1616" i="1"/>
  <c r="H1615" i="1"/>
  <c r="H1614" i="1"/>
  <c r="O1613" i="1"/>
  <c r="P1618" i="1" s="1"/>
  <c r="H1613" i="1"/>
  <c r="O1610" i="1"/>
  <c r="P1611" i="1" s="1"/>
  <c r="J1610" i="1"/>
  <c r="H1610" i="1"/>
  <c r="I1611" i="1" s="1"/>
  <c r="K1609" i="1"/>
  <c r="H1607" i="1"/>
  <c r="O1606" i="1"/>
  <c r="P1608" i="1" s="1"/>
  <c r="H1606" i="1"/>
  <c r="H1603" i="1"/>
  <c r="H1602" i="1"/>
  <c r="H1601" i="1"/>
  <c r="H1600" i="1"/>
  <c r="O1599" i="1"/>
  <c r="P1604" i="1" s="1"/>
  <c r="H1599" i="1"/>
  <c r="K1598" i="1"/>
  <c r="H1596" i="1"/>
  <c r="H1595" i="1"/>
  <c r="H1594" i="1"/>
  <c r="H1593" i="1"/>
  <c r="O1592" i="1"/>
  <c r="P1597" i="1" s="1"/>
  <c r="H1592" i="1"/>
  <c r="H1589" i="1"/>
  <c r="H1588" i="1"/>
  <c r="H1587" i="1"/>
  <c r="H1586" i="1"/>
  <c r="O1585" i="1"/>
  <c r="P1590" i="1" s="1"/>
  <c r="H1585" i="1"/>
  <c r="O1582" i="1"/>
  <c r="P1583" i="1" s="1"/>
  <c r="H1582" i="1"/>
  <c r="I1583" i="1" s="1"/>
  <c r="K1581" i="1"/>
  <c r="O1579" i="1"/>
  <c r="P1580" i="1" s="1"/>
  <c r="H1579" i="1"/>
  <c r="I1580" i="1" s="1"/>
  <c r="H1576" i="1"/>
  <c r="O1575" i="1"/>
  <c r="P1577" i="1" s="1"/>
  <c r="H1575" i="1"/>
  <c r="H1572" i="1"/>
  <c r="H1571" i="1"/>
  <c r="H1570" i="1"/>
  <c r="H1569" i="1"/>
  <c r="O1568" i="1"/>
  <c r="P1573" i="1" s="1"/>
  <c r="H1568" i="1"/>
  <c r="K1567" i="1"/>
  <c r="H1565" i="1"/>
  <c r="H1564" i="1"/>
  <c r="H1563" i="1"/>
  <c r="H1562" i="1"/>
  <c r="O1561" i="1"/>
  <c r="P1566" i="1" s="1"/>
  <c r="H1561" i="1"/>
  <c r="H1558" i="1"/>
  <c r="H1557" i="1"/>
  <c r="H1556" i="1"/>
  <c r="H1555" i="1"/>
  <c r="O1554" i="1"/>
  <c r="P1559" i="1" s="1"/>
  <c r="H1554" i="1"/>
  <c r="O1551" i="1"/>
  <c r="P1552" i="1" s="1"/>
  <c r="H1551" i="1"/>
  <c r="I1552" i="1" s="1"/>
  <c r="K1550" i="1"/>
  <c r="O1548" i="1"/>
  <c r="P1549" i="1" s="1"/>
  <c r="H1548" i="1"/>
  <c r="I1549" i="1" s="1"/>
  <c r="H1545" i="1"/>
  <c r="O1544" i="1"/>
  <c r="P1546" i="1" s="1"/>
  <c r="H1544" i="1"/>
  <c r="H1541" i="1"/>
  <c r="H1540" i="1"/>
  <c r="H1539" i="1"/>
  <c r="H1538" i="1"/>
  <c r="O1537" i="1"/>
  <c r="P1542" i="1" s="1"/>
  <c r="H1537" i="1"/>
  <c r="K1536" i="1"/>
  <c r="H1534" i="1"/>
  <c r="H1533" i="1"/>
  <c r="H1532" i="1"/>
  <c r="H1531" i="1"/>
  <c r="O1530" i="1"/>
  <c r="P1535" i="1" s="1"/>
  <c r="H1530" i="1"/>
  <c r="H1527" i="1"/>
  <c r="H1526" i="1"/>
  <c r="H1525" i="1"/>
  <c r="H1524" i="1"/>
  <c r="O1523" i="1"/>
  <c r="P1528" i="1" s="1"/>
  <c r="H1523" i="1"/>
  <c r="O1520" i="1"/>
  <c r="P1521" i="1" s="1"/>
  <c r="J1520" i="1"/>
  <c r="H1520" i="1"/>
  <c r="I1521" i="1" s="1"/>
  <c r="K1519" i="1"/>
  <c r="H1517" i="1"/>
  <c r="O1516" i="1"/>
  <c r="P1518" i="1" s="1"/>
  <c r="H1516" i="1"/>
  <c r="H1513" i="1"/>
  <c r="H1512" i="1"/>
  <c r="H1511" i="1"/>
  <c r="H1510" i="1"/>
  <c r="O1509" i="1"/>
  <c r="P1514" i="1" s="1"/>
  <c r="H1509" i="1"/>
  <c r="K1508" i="1"/>
  <c r="H1506" i="1"/>
  <c r="H1505" i="1"/>
  <c r="H1504" i="1"/>
  <c r="H1503" i="1"/>
  <c r="O1502" i="1"/>
  <c r="P1507" i="1" s="1"/>
  <c r="H1502" i="1"/>
  <c r="H1499" i="1"/>
  <c r="H1498" i="1"/>
  <c r="H1497" i="1"/>
  <c r="H1496" i="1"/>
  <c r="O1495" i="1"/>
  <c r="P1500" i="1" s="1"/>
  <c r="H1495" i="1"/>
  <c r="O1492" i="1"/>
  <c r="P1493" i="1" s="1"/>
  <c r="J1492" i="1"/>
  <c r="H1492" i="1"/>
  <c r="I1493" i="1" s="1"/>
  <c r="K1491" i="1"/>
  <c r="H1489" i="1"/>
  <c r="O1488" i="1"/>
  <c r="P1490" i="1" s="1"/>
  <c r="H1488" i="1"/>
  <c r="H1485" i="1"/>
  <c r="H1484" i="1"/>
  <c r="H1483" i="1"/>
  <c r="H1482" i="1"/>
  <c r="O1481" i="1"/>
  <c r="P1486" i="1" s="1"/>
  <c r="H1481" i="1"/>
  <c r="K1480" i="1"/>
  <c r="H1478" i="1"/>
  <c r="H1477" i="1"/>
  <c r="H1476" i="1"/>
  <c r="H1475" i="1"/>
  <c r="O1474" i="1"/>
  <c r="P1479" i="1" s="1"/>
  <c r="H1474" i="1"/>
  <c r="H1471" i="1"/>
  <c r="H1470" i="1"/>
  <c r="H1469" i="1"/>
  <c r="H1468" i="1"/>
  <c r="O1467" i="1"/>
  <c r="P1472" i="1" s="1"/>
  <c r="H1467" i="1"/>
  <c r="O1464" i="1"/>
  <c r="P1465" i="1" s="1"/>
  <c r="H1464" i="1"/>
  <c r="I1465" i="1" s="1"/>
  <c r="K1463" i="1"/>
  <c r="O1461" i="1"/>
  <c r="P1462" i="1" s="1"/>
  <c r="H1461" i="1"/>
  <c r="I1462" i="1" s="1"/>
  <c r="O1458" i="1"/>
  <c r="P1459" i="1" s="1"/>
  <c r="H1458" i="1"/>
  <c r="I1459" i="1" s="1"/>
  <c r="H1455" i="1"/>
  <c r="O1454" i="1"/>
  <c r="P1456" i="1" s="1"/>
  <c r="H1454" i="1"/>
  <c r="H1451" i="1"/>
  <c r="H1450" i="1"/>
  <c r="H1449" i="1"/>
  <c r="H1448" i="1"/>
  <c r="O1447" i="1"/>
  <c r="P1452" i="1" s="1"/>
  <c r="H1447" i="1"/>
  <c r="K1446" i="1"/>
  <c r="H1444" i="1"/>
  <c r="H1443" i="1"/>
  <c r="H1442" i="1"/>
  <c r="H1441" i="1"/>
  <c r="O1440" i="1"/>
  <c r="P1445" i="1" s="1"/>
  <c r="H1440" i="1"/>
  <c r="H1437" i="1"/>
  <c r="H1436" i="1"/>
  <c r="H1435" i="1"/>
  <c r="H1434" i="1"/>
  <c r="O1433" i="1"/>
  <c r="P1438" i="1" s="1"/>
  <c r="H1433" i="1"/>
  <c r="O1430" i="1"/>
  <c r="P1431" i="1" s="1"/>
  <c r="J1430" i="1"/>
  <c r="H1430" i="1"/>
  <c r="I1431" i="1" s="1"/>
  <c r="K1429" i="1"/>
  <c r="H1427" i="1"/>
  <c r="O1426" i="1"/>
  <c r="P1428" i="1" s="1"/>
  <c r="H1426" i="1"/>
  <c r="H1423" i="1"/>
  <c r="H1422" i="1"/>
  <c r="H1421" i="1"/>
  <c r="H1420" i="1"/>
  <c r="O1419" i="1"/>
  <c r="P1424" i="1" s="1"/>
  <c r="H1419" i="1"/>
  <c r="K1418" i="1"/>
  <c r="H1416" i="1"/>
  <c r="H1415" i="1"/>
  <c r="H1414" i="1"/>
  <c r="H1413" i="1"/>
  <c r="O1412" i="1"/>
  <c r="P1417" i="1" s="1"/>
  <c r="H1412" i="1"/>
  <c r="H1409" i="1"/>
  <c r="H1408" i="1"/>
  <c r="H1407" i="1"/>
  <c r="H1406" i="1"/>
  <c r="O1405" i="1"/>
  <c r="P1410" i="1" s="1"/>
  <c r="H1405" i="1"/>
  <c r="O1402" i="1"/>
  <c r="P1403" i="1" s="1"/>
  <c r="J1402" i="1"/>
  <c r="H1402" i="1"/>
  <c r="I1403" i="1" s="1"/>
  <c r="K1401" i="1"/>
  <c r="H1399" i="1"/>
  <c r="O1398" i="1"/>
  <c r="P1400" i="1" s="1"/>
  <c r="H1398" i="1"/>
  <c r="H1395" i="1"/>
  <c r="H1394" i="1"/>
  <c r="H1393" i="1"/>
  <c r="H1392" i="1"/>
  <c r="O1391" i="1"/>
  <c r="P1396" i="1" s="1"/>
  <c r="H1391" i="1"/>
  <c r="K1390" i="1"/>
  <c r="H1388" i="1"/>
  <c r="H1387" i="1"/>
  <c r="H1386" i="1"/>
  <c r="H1385" i="1"/>
  <c r="O1384" i="1"/>
  <c r="P1389" i="1" s="1"/>
  <c r="H1384" i="1"/>
  <c r="H1381" i="1"/>
  <c r="H1380" i="1"/>
  <c r="H1379" i="1"/>
  <c r="H1378" i="1"/>
  <c r="O1377" i="1"/>
  <c r="P1382" i="1" s="1"/>
  <c r="H1377" i="1"/>
  <c r="O1374" i="1"/>
  <c r="P1375" i="1" s="1"/>
  <c r="H1374" i="1"/>
  <c r="I1375" i="1" s="1"/>
  <c r="K1373" i="1"/>
  <c r="H1371" i="1"/>
  <c r="O1370" i="1"/>
  <c r="P1372" i="1" s="1"/>
  <c r="H1370" i="1"/>
  <c r="H1367" i="1"/>
  <c r="H1366" i="1"/>
  <c r="H1365" i="1"/>
  <c r="H1364" i="1"/>
  <c r="O1363" i="1"/>
  <c r="P1368" i="1" s="1"/>
  <c r="H1363" i="1"/>
  <c r="K1362" i="1"/>
  <c r="H1360" i="1"/>
  <c r="H1359" i="1"/>
  <c r="H1358" i="1"/>
  <c r="H1357" i="1"/>
  <c r="O1356" i="1"/>
  <c r="P1361" i="1" s="1"/>
  <c r="H1356" i="1"/>
  <c r="H1353" i="1"/>
  <c r="H1352" i="1"/>
  <c r="H1351" i="1"/>
  <c r="H1350" i="1"/>
  <c r="O1349" i="1"/>
  <c r="P1354" i="1" s="1"/>
  <c r="H1349" i="1"/>
  <c r="O1346" i="1"/>
  <c r="P1347" i="1" s="1"/>
  <c r="H1346" i="1"/>
  <c r="I1347" i="1" s="1"/>
  <c r="K1345" i="1"/>
  <c r="H1343" i="1"/>
  <c r="O1342" i="1"/>
  <c r="P1344" i="1" s="1"/>
  <c r="H1342" i="1"/>
  <c r="H1339" i="1"/>
  <c r="H1338" i="1"/>
  <c r="H1337" i="1"/>
  <c r="H1336" i="1"/>
  <c r="O1335" i="1"/>
  <c r="P1340" i="1" s="1"/>
  <c r="H1335" i="1"/>
  <c r="K1334" i="1"/>
  <c r="H1332" i="1"/>
  <c r="H1331" i="1"/>
  <c r="H1330" i="1"/>
  <c r="H1329" i="1"/>
  <c r="O1328" i="1"/>
  <c r="P1333" i="1" s="1"/>
  <c r="H1328" i="1"/>
  <c r="H1325" i="1"/>
  <c r="H1324" i="1"/>
  <c r="H1323" i="1"/>
  <c r="H1322" i="1"/>
  <c r="O1321" i="1"/>
  <c r="P1326" i="1" s="1"/>
  <c r="H1321" i="1"/>
  <c r="O1318" i="1"/>
  <c r="P1319" i="1" s="1"/>
  <c r="H1318" i="1"/>
  <c r="I1319" i="1" s="1"/>
  <c r="K1317" i="1"/>
  <c r="O1315" i="1"/>
  <c r="P1316" i="1" s="1"/>
  <c r="H1315" i="1"/>
  <c r="I1316" i="1" s="1"/>
  <c r="H1312" i="1"/>
  <c r="O1311" i="1"/>
  <c r="P1313" i="1" s="1"/>
  <c r="H1311" i="1"/>
  <c r="H1308" i="1"/>
  <c r="H1307" i="1"/>
  <c r="H1306" i="1"/>
  <c r="H1305" i="1"/>
  <c r="O1304" i="1"/>
  <c r="P1309" i="1" s="1"/>
  <c r="H1304" i="1"/>
  <c r="K1303" i="1"/>
  <c r="H1301" i="1"/>
  <c r="H1300" i="1"/>
  <c r="H1299" i="1"/>
  <c r="H1298" i="1"/>
  <c r="O1297" i="1"/>
  <c r="P1302" i="1" s="1"/>
  <c r="H1297" i="1"/>
  <c r="H1294" i="1"/>
  <c r="H1293" i="1"/>
  <c r="H1292" i="1"/>
  <c r="H1291" i="1"/>
  <c r="O1290" i="1"/>
  <c r="P1295" i="1" s="1"/>
  <c r="H1290" i="1"/>
  <c r="O1287" i="1"/>
  <c r="P1288" i="1" s="1"/>
  <c r="H1287" i="1"/>
  <c r="I1288" i="1" s="1"/>
  <c r="K1286" i="1"/>
  <c r="J1286" i="1"/>
  <c r="O1284" i="1"/>
  <c r="P1285" i="1" s="1"/>
  <c r="H1284" i="1"/>
  <c r="I1285" i="1" s="1"/>
  <c r="O1281" i="1"/>
  <c r="P1282" i="1" s="1"/>
  <c r="H1281" i="1"/>
  <c r="I1282" i="1" s="1"/>
  <c r="O1278" i="1"/>
  <c r="P1279" i="1" s="1"/>
  <c r="J1278" i="1"/>
  <c r="H1278" i="1"/>
  <c r="I1279" i="1" s="1"/>
  <c r="K1277" i="1"/>
  <c r="J1277" i="1"/>
  <c r="O1275" i="1"/>
  <c r="P1276" i="1" s="1"/>
  <c r="J1275" i="1"/>
  <c r="H1275" i="1"/>
  <c r="I1276" i="1" s="1"/>
  <c r="K1274" i="1"/>
  <c r="J1274" i="1"/>
  <c r="H1272" i="1"/>
  <c r="O1271" i="1"/>
  <c r="P1273" i="1" s="1"/>
  <c r="H1271" i="1"/>
  <c r="H1268" i="1"/>
  <c r="H1267" i="1"/>
  <c r="H1266" i="1"/>
  <c r="H1265" i="1"/>
  <c r="O1264" i="1"/>
  <c r="P1269" i="1" s="1"/>
  <c r="H1264" i="1"/>
  <c r="K1263" i="1"/>
  <c r="H1261" i="1"/>
  <c r="H1260" i="1"/>
  <c r="H1259" i="1"/>
  <c r="H1258" i="1"/>
  <c r="O1257" i="1"/>
  <c r="P1262" i="1" s="1"/>
  <c r="H1257" i="1"/>
  <c r="H1254" i="1"/>
  <c r="H1253" i="1"/>
  <c r="H1252" i="1"/>
  <c r="H1251" i="1"/>
  <c r="O1250" i="1"/>
  <c r="P1255" i="1" s="1"/>
  <c r="H1250" i="1"/>
  <c r="O1247" i="1"/>
  <c r="P1248" i="1" s="1"/>
  <c r="H1247" i="1"/>
  <c r="I1248" i="1" s="1"/>
  <c r="K1246" i="1"/>
  <c r="O1244" i="1"/>
  <c r="P1245" i="1" s="1"/>
  <c r="H1244" i="1"/>
  <c r="I1245" i="1" s="1"/>
  <c r="O1241" i="1"/>
  <c r="P1242" i="1" s="1"/>
  <c r="H1241" i="1"/>
  <c r="I1242" i="1" s="1"/>
  <c r="H1238" i="1"/>
  <c r="O1237" i="1"/>
  <c r="P1239" i="1" s="1"/>
  <c r="H1237" i="1"/>
  <c r="H1234" i="1"/>
  <c r="H1233" i="1"/>
  <c r="H1232" i="1"/>
  <c r="H1231" i="1"/>
  <c r="O1230" i="1"/>
  <c r="P1235" i="1" s="1"/>
  <c r="H1230" i="1"/>
  <c r="K1229" i="1"/>
  <c r="H1227" i="1"/>
  <c r="H1226" i="1"/>
  <c r="H1225" i="1"/>
  <c r="H1224" i="1"/>
  <c r="O1223" i="1"/>
  <c r="P1228" i="1" s="1"/>
  <c r="H1223" i="1"/>
  <c r="H1220" i="1"/>
  <c r="H1219" i="1"/>
  <c r="H1218" i="1"/>
  <c r="H1217" i="1"/>
  <c r="O1216" i="1"/>
  <c r="P1221" i="1" s="1"/>
  <c r="H1216" i="1"/>
  <c r="O1213" i="1"/>
  <c r="P1214" i="1" s="1"/>
  <c r="H1213" i="1"/>
  <c r="I1214" i="1" s="1"/>
  <c r="K1212" i="1"/>
  <c r="O1210" i="1"/>
  <c r="P1211" i="1" s="1"/>
  <c r="H1210" i="1"/>
  <c r="I1211" i="1" s="1"/>
  <c r="H1207" i="1"/>
  <c r="O1206" i="1"/>
  <c r="P1208" i="1" s="1"/>
  <c r="H1206" i="1"/>
  <c r="H1203" i="1"/>
  <c r="H1202" i="1"/>
  <c r="H1201" i="1"/>
  <c r="H1200" i="1"/>
  <c r="O1199" i="1"/>
  <c r="P1204" i="1" s="1"/>
  <c r="H1199" i="1"/>
  <c r="K1198" i="1"/>
  <c r="H1196" i="1"/>
  <c r="H1195" i="1"/>
  <c r="H1194" i="1"/>
  <c r="H1193" i="1"/>
  <c r="O1192" i="1"/>
  <c r="P1197" i="1" s="1"/>
  <c r="H1192" i="1"/>
  <c r="H1189" i="1"/>
  <c r="H1188" i="1"/>
  <c r="H1187" i="1"/>
  <c r="H1186" i="1"/>
  <c r="O1185" i="1"/>
  <c r="P1190" i="1" s="1"/>
  <c r="H1185" i="1"/>
  <c r="O1182" i="1"/>
  <c r="P1183" i="1" s="1"/>
  <c r="J1182" i="1"/>
  <c r="H1182" i="1"/>
  <c r="I1183" i="1" s="1"/>
  <c r="K1181" i="1"/>
  <c r="J1181" i="1"/>
  <c r="H1179" i="1"/>
  <c r="I1180" i="1" s="1"/>
  <c r="O1178" i="1"/>
  <c r="P1180" i="1" s="1"/>
  <c r="H1178" i="1"/>
  <c r="H1175" i="1"/>
  <c r="H1174" i="1"/>
  <c r="H1173" i="1"/>
  <c r="H1172" i="1"/>
  <c r="O1171" i="1"/>
  <c r="P1176" i="1" s="1"/>
  <c r="H1171" i="1"/>
  <c r="K1170" i="1"/>
  <c r="H1168" i="1"/>
  <c r="H1167" i="1"/>
  <c r="H1166" i="1"/>
  <c r="H1165" i="1"/>
  <c r="O1164" i="1"/>
  <c r="P1169" i="1" s="1"/>
  <c r="H1164" i="1"/>
  <c r="H1161" i="1"/>
  <c r="H1160" i="1"/>
  <c r="H1159" i="1"/>
  <c r="H1158" i="1"/>
  <c r="O1157" i="1"/>
  <c r="P1162" i="1" s="1"/>
  <c r="H1157" i="1"/>
  <c r="H1154" i="1"/>
  <c r="O1153" i="1"/>
  <c r="P1155" i="1" s="1"/>
  <c r="H1153" i="1"/>
  <c r="O1150" i="1"/>
  <c r="O1149" i="1"/>
  <c r="O1148" i="1"/>
  <c r="H1148" i="1"/>
  <c r="I1151" i="1" s="1"/>
  <c r="O1145" i="1"/>
  <c r="P1146" i="1" s="1"/>
  <c r="H1145" i="1"/>
  <c r="I1146" i="1" s="1"/>
  <c r="K1144" i="1"/>
  <c r="H1142" i="1"/>
  <c r="O1141" i="1"/>
  <c r="P1143" i="1" s="1"/>
  <c r="H1141" i="1"/>
  <c r="H1138" i="1"/>
  <c r="H1137" i="1"/>
  <c r="H1136" i="1"/>
  <c r="H1135" i="1"/>
  <c r="O1134" i="1"/>
  <c r="P1139" i="1" s="1"/>
  <c r="H1134" i="1"/>
  <c r="K1133" i="1"/>
  <c r="H1131" i="1"/>
  <c r="H1130" i="1"/>
  <c r="H1129" i="1"/>
  <c r="H1128" i="1"/>
  <c r="O1127" i="1"/>
  <c r="P1132" i="1" s="1"/>
  <c r="H1127" i="1"/>
  <c r="H1124" i="1"/>
  <c r="H1123" i="1"/>
  <c r="H1122" i="1"/>
  <c r="H1121" i="1"/>
  <c r="O1120" i="1"/>
  <c r="P1125" i="1" s="1"/>
  <c r="H1120" i="1"/>
  <c r="O1117" i="1"/>
  <c r="P1118" i="1" s="1"/>
  <c r="H1117" i="1"/>
  <c r="I1118" i="1" s="1"/>
  <c r="K1116" i="1"/>
  <c r="H1114" i="1"/>
  <c r="O1113" i="1"/>
  <c r="P1115" i="1" s="1"/>
  <c r="H1113" i="1"/>
  <c r="H1110" i="1"/>
  <c r="H1109" i="1"/>
  <c r="H1108" i="1"/>
  <c r="H1107" i="1"/>
  <c r="O1106" i="1"/>
  <c r="P1111" i="1" s="1"/>
  <c r="H1106" i="1"/>
  <c r="K1105" i="1"/>
  <c r="H1103" i="1"/>
  <c r="H1102" i="1"/>
  <c r="H1101" i="1"/>
  <c r="H1100" i="1"/>
  <c r="O1099" i="1"/>
  <c r="P1104" i="1" s="1"/>
  <c r="H1099" i="1"/>
  <c r="H1096" i="1"/>
  <c r="H1095" i="1"/>
  <c r="H1094" i="1"/>
  <c r="H1093" i="1"/>
  <c r="O1092" i="1"/>
  <c r="P1097" i="1" s="1"/>
  <c r="H1092" i="1"/>
  <c r="O1089" i="1"/>
  <c r="P1090" i="1" s="1"/>
  <c r="H1089" i="1"/>
  <c r="I1090" i="1" s="1"/>
  <c r="K1088" i="1"/>
  <c r="J1088" i="1"/>
  <c r="O1086" i="1"/>
  <c r="P1087" i="1" s="1"/>
  <c r="H1086" i="1"/>
  <c r="I1087" i="1" s="1"/>
  <c r="O1083" i="1"/>
  <c r="P1084" i="1" s="1"/>
  <c r="H1083" i="1"/>
  <c r="I1084" i="1" s="1"/>
  <c r="H1080" i="1"/>
  <c r="O1079" i="1"/>
  <c r="P1081" i="1" s="1"/>
  <c r="H1079" i="1"/>
  <c r="H1076" i="1"/>
  <c r="H1075" i="1"/>
  <c r="H1074" i="1"/>
  <c r="H1073" i="1"/>
  <c r="O1072" i="1"/>
  <c r="P1077" i="1" s="1"/>
  <c r="H1072" i="1"/>
  <c r="K1071" i="1"/>
  <c r="H1069" i="1"/>
  <c r="H1068" i="1"/>
  <c r="H1067" i="1"/>
  <c r="H1066" i="1"/>
  <c r="O1065" i="1"/>
  <c r="P1070" i="1" s="1"/>
  <c r="H1065" i="1"/>
  <c r="H1062" i="1"/>
  <c r="H1061" i="1"/>
  <c r="H1060" i="1"/>
  <c r="H1059" i="1"/>
  <c r="O1058" i="1"/>
  <c r="P1063" i="1" s="1"/>
  <c r="H1058" i="1"/>
  <c r="O1055" i="1"/>
  <c r="P1056" i="1" s="1"/>
  <c r="H1055" i="1"/>
  <c r="I1056" i="1" s="1"/>
  <c r="K1054" i="1"/>
  <c r="O1052" i="1"/>
  <c r="P1053" i="1" s="1"/>
  <c r="H1052" i="1"/>
  <c r="I1053" i="1" s="1"/>
  <c r="O1049" i="1"/>
  <c r="P1050" i="1" s="1"/>
  <c r="H1049" i="1"/>
  <c r="I1050" i="1" s="1"/>
  <c r="H1046" i="1"/>
  <c r="O1045" i="1"/>
  <c r="P1047" i="1" s="1"/>
  <c r="H1045" i="1"/>
  <c r="H1042" i="1"/>
  <c r="H1041" i="1"/>
  <c r="H1040" i="1"/>
  <c r="H1039" i="1"/>
  <c r="O1038" i="1"/>
  <c r="P1043" i="1" s="1"/>
  <c r="H1038" i="1"/>
  <c r="K1037" i="1"/>
  <c r="H1035" i="1"/>
  <c r="H1034" i="1"/>
  <c r="H1033" i="1"/>
  <c r="H1032" i="1"/>
  <c r="O1031" i="1"/>
  <c r="P1036" i="1" s="1"/>
  <c r="H1031" i="1"/>
  <c r="H1028" i="1"/>
  <c r="H1027" i="1"/>
  <c r="H1026" i="1"/>
  <c r="H1025" i="1"/>
  <c r="O1024" i="1"/>
  <c r="P1029" i="1" s="1"/>
  <c r="H1024" i="1"/>
  <c r="O1021" i="1"/>
  <c r="P1022" i="1" s="1"/>
  <c r="H1021" i="1"/>
  <c r="I1022" i="1" s="1"/>
  <c r="K1020" i="1"/>
  <c r="O1018" i="1"/>
  <c r="P1019" i="1" s="1"/>
  <c r="H1018" i="1"/>
  <c r="I1019" i="1" s="1"/>
  <c r="O1015" i="1"/>
  <c r="P1016" i="1" s="1"/>
  <c r="H1015" i="1"/>
  <c r="I1016" i="1" s="1"/>
  <c r="H1012" i="1"/>
  <c r="O1011" i="1"/>
  <c r="P1013" i="1" s="1"/>
  <c r="H1011" i="1"/>
  <c r="H1008" i="1"/>
  <c r="H1007" i="1"/>
  <c r="H1006" i="1"/>
  <c r="H1005" i="1"/>
  <c r="O1004" i="1"/>
  <c r="P1009" i="1" s="1"/>
  <c r="H1004" i="1"/>
  <c r="K1003" i="1"/>
  <c r="H1001" i="1"/>
  <c r="H1000" i="1"/>
  <c r="H999" i="1"/>
  <c r="H998" i="1"/>
  <c r="O997" i="1"/>
  <c r="P1002" i="1" s="1"/>
  <c r="H997" i="1"/>
  <c r="H994" i="1"/>
  <c r="H993" i="1"/>
  <c r="H992" i="1"/>
  <c r="H991" i="1"/>
  <c r="O990" i="1"/>
  <c r="P995" i="1" s="1"/>
  <c r="H990" i="1"/>
  <c r="O987" i="1"/>
  <c r="P988" i="1" s="1"/>
  <c r="H987" i="1"/>
  <c r="I988" i="1" s="1"/>
  <c r="K986" i="1"/>
  <c r="H984" i="1"/>
  <c r="O983" i="1"/>
  <c r="P985" i="1" s="1"/>
  <c r="H983" i="1"/>
  <c r="H980" i="1"/>
  <c r="H979" i="1"/>
  <c r="H978" i="1"/>
  <c r="H977" i="1"/>
  <c r="O976" i="1"/>
  <c r="P981" i="1" s="1"/>
  <c r="H976" i="1"/>
  <c r="K975" i="1"/>
  <c r="H973" i="1"/>
  <c r="H972" i="1"/>
  <c r="H971" i="1"/>
  <c r="H970" i="1"/>
  <c r="O969" i="1"/>
  <c r="P974" i="1" s="1"/>
  <c r="H969" i="1"/>
  <c r="H966" i="1"/>
  <c r="H965" i="1"/>
  <c r="H964" i="1"/>
  <c r="H963" i="1"/>
  <c r="O962" i="1"/>
  <c r="P967" i="1" s="1"/>
  <c r="H962" i="1"/>
  <c r="O959" i="1"/>
  <c r="P960" i="1" s="1"/>
  <c r="H959" i="1"/>
  <c r="I960" i="1" s="1"/>
  <c r="K958" i="1"/>
  <c r="O956" i="1"/>
  <c r="P957" i="1" s="1"/>
  <c r="H956" i="1"/>
  <c r="I957" i="1" s="1"/>
  <c r="H953" i="1"/>
  <c r="O952" i="1"/>
  <c r="P954" i="1" s="1"/>
  <c r="H952" i="1"/>
  <c r="H949" i="1"/>
  <c r="H948" i="1"/>
  <c r="H947" i="1"/>
  <c r="H946" i="1"/>
  <c r="O945" i="1"/>
  <c r="P950" i="1" s="1"/>
  <c r="H945" i="1"/>
  <c r="K944" i="1"/>
  <c r="H942" i="1"/>
  <c r="H941" i="1"/>
  <c r="H940" i="1"/>
  <c r="H939" i="1"/>
  <c r="H938" i="1"/>
  <c r="H935" i="1"/>
  <c r="H934" i="1"/>
  <c r="H933" i="1"/>
  <c r="H932" i="1"/>
  <c r="P936" i="1"/>
  <c r="H931" i="1"/>
  <c r="O928" i="1"/>
  <c r="P929" i="1" s="1"/>
  <c r="H928" i="1"/>
  <c r="I929" i="1" s="1"/>
  <c r="K927" i="1"/>
  <c r="O925" i="1"/>
  <c r="P926" i="1" s="1"/>
  <c r="H925" i="1"/>
  <c r="I926" i="1" s="1"/>
  <c r="H922" i="1"/>
  <c r="O921" i="1"/>
  <c r="P923" i="1" s="1"/>
  <c r="H921" i="1"/>
  <c r="H918" i="1"/>
  <c r="H917" i="1"/>
  <c r="H916" i="1"/>
  <c r="H915" i="1"/>
  <c r="O914" i="1"/>
  <c r="P919" i="1" s="1"/>
  <c r="H914" i="1"/>
  <c r="K913" i="1"/>
  <c r="H911" i="1"/>
  <c r="H910" i="1"/>
  <c r="H909" i="1"/>
  <c r="H908" i="1"/>
  <c r="O907" i="1"/>
  <c r="P912" i="1" s="1"/>
  <c r="H907" i="1"/>
  <c r="H904" i="1"/>
  <c r="H903" i="1"/>
  <c r="H902" i="1"/>
  <c r="H901" i="1"/>
  <c r="O900" i="1"/>
  <c r="P905" i="1" s="1"/>
  <c r="H900" i="1"/>
  <c r="O897" i="1"/>
  <c r="P898" i="1" s="1"/>
  <c r="H897" i="1"/>
  <c r="I898" i="1" s="1"/>
  <c r="K896" i="1"/>
  <c r="O894" i="1"/>
  <c r="P895" i="1" s="1"/>
  <c r="H894" i="1"/>
  <c r="I895" i="1" s="1"/>
  <c r="H891" i="1"/>
  <c r="O890" i="1"/>
  <c r="P892" i="1" s="1"/>
  <c r="H890" i="1"/>
  <c r="H887" i="1"/>
  <c r="H886" i="1"/>
  <c r="H885" i="1"/>
  <c r="H884" i="1"/>
  <c r="O883" i="1"/>
  <c r="P888" i="1" s="1"/>
  <c r="H883" i="1"/>
  <c r="K882" i="1"/>
  <c r="H880" i="1"/>
  <c r="H879" i="1"/>
  <c r="H878" i="1"/>
  <c r="H877" i="1"/>
  <c r="O876" i="1"/>
  <c r="P881" i="1" s="1"/>
  <c r="H876" i="1"/>
  <c r="H873" i="1"/>
  <c r="H872" i="1"/>
  <c r="H871" i="1"/>
  <c r="H870" i="1"/>
  <c r="O869" i="1"/>
  <c r="P874" i="1" s="1"/>
  <c r="H869" i="1"/>
  <c r="O866" i="1"/>
  <c r="P867" i="1" s="1"/>
  <c r="H866" i="1"/>
  <c r="I867" i="1" s="1"/>
  <c r="K865" i="1"/>
  <c r="O863" i="1"/>
  <c r="P864" i="1" s="1"/>
  <c r="H863" i="1"/>
  <c r="K862" i="1"/>
  <c r="O860" i="1"/>
  <c r="P861" i="1" s="1"/>
  <c r="H860" i="1"/>
  <c r="I861" i="1" s="1"/>
  <c r="H857" i="1"/>
  <c r="I864" i="1" s="1"/>
  <c r="O856" i="1"/>
  <c r="P858" i="1" s="1"/>
  <c r="H856" i="1"/>
  <c r="H853" i="1"/>
  <c r="H852" i="1"/>
  <c r="H851" i="1"/>
  <c r="H850" i="1"/>
  <c r="O849" i="1"/>
  <c r="P854" i="1" s="1"/>
  <c r="H849" i="1"/>
  <c r="K848" i="1"/>
  <c r="H846" i="1"/>
  <c r="H845" i="1"/>
  <c r="H844" i="1"/>
  <c r="H843" i="1"/>
  <c r="O842" i="1"/>
  <c r="P847" i="1" s="1"/>
  <c r="H842" i="1"/>
  <c r="H839" i="1"/>
  <c r="H838" i="1"/>
  <c r="H837" i="1"/>
  <c r="H836" i="1"/>
  <c r="O835" i="1"/>
  <c r="P840" i="1" s="1"/>
  <c r="H835" i="1"/>
  <c r="O832" i="1"/>
  <c r="P833" i="1" s="1"/>
  <c r="H832" i="1"/>
  <c r="I833" i="1" s="1"/>
  <c r="K831" i="1"/>
  <c r="H829" i="1"/>
  <c r="I830" i="1" s="1"/>
  <c r="O828" i="1"/>
  <c r="P830" i="1" s="1"/>
  <c r="H828" i="1"/>
  <c r="H825" i="1"/>
  <c r="H824" i="1"/>
  <c r="H823" i="1"/>
  <c r="H822" i="1"/>
  <c r="O821" i="1"/>
  <c r="P826" i="1" s="1"/>
  <c r="H821" i="1"/>
  <c r="K820" i="1"/>
  <c r="H818" i="1"/>
  <c r="H817" i="1"/>
  <c r="H816" i="1"/>
  <c r="H815" i="1"/>
  <c r="O814" i="1"/>
  <c r="P819" i="1" s="1"/>
  <c r="H814" i="1"/>
  <c r="H811" i="1"/>
  <c r="H810" i="1"/>
  <c r="H809" i="1"/>
  <c r="H808" i="1"/>
  <c r="O807" i="1"/>
  <c r="P812" i="1" s="1"/>
  <c r="H807" i="1"/>
  <c r="O804" i="1"/>
  <c r="P805" i="1" s="1"/>
  <c r="H804" i="1"/>
  <c r="I805" i="1" s="1"/>
  <c r="K803" i="1"/>
  <c r="O801" i="1"/>
  <c r="P802" i="1" s="1"/>
  <c r="H801" i="1"/>
  <c r="I802" i="1" s="1"/>
  <c r="K800" i="1"/>
  <c r="O798" i="1"/>
  <c r="P799" i="1" s="1"/>
  <c r="H798" i="1"/>
  <c r="I799" i="1" s="1"/>
  <c r="H795" i="1"/>
  <c r="O794" i="1"/>
  <c r="P796" i="1" s="1"/>
  <c r="H794" i="1"/>
  <c r="H791" i="1"/>
  <c r="H790" i="1"/>
  <c r="H789" i="1"/>
  <c r="H788" i="1"/>
  <c r="O787" i="1"/>
  <c r="P792" i="1" s="1"/>
  <c r="H787" i="1"/>
  <c r="K786" i="1"/>
  <c r="H784" i="1"/>
  <c r="H783" i="1"/>
  <c r="H782" i="1"/>
  <c r="H781" i="1"/>
  <c r="O780" i="1"/>
  <c r="P785" i="1" s="1"/>
  <c r="H780" i="1"/>
  <c r="H777" i="1"/>
  <c r="H776" i="1"/>
  <c r="H775" i="1"/>
  <c r="H774" i="1"/>
  <c r="O773" i="1"/>
  <c r="P778" i="1" s="1"/>
  <c r="H773" i="1"/>
  <c r="O770" i="1"/>
  <c r="P771" i="1" s="1"/>
  <c r="H770" i="1"/>
  <c r="I771" i="1" s="1"/>
  <c r="K769" i="1"/>
  <c r="H767" i="1"/>
  <c r="O766" i="1"/>
  <c r="P768" i="1" s="1"/>
  <c r="H766" i="1"/>
  <c r="H763" i="1"/>
  <c r="H762" i="1"/>
  <c r="H761" i="1"/>
  <c r="H760" i="1"/>
  <c r="O759" i="1"/>
  <c r="P764" i="1" s="1"/>
  <c r="H759" i="1"/>
  <c r="H756" i="1"/>
  <c r="H755" i="1"/>
  <c r="H754" i="1"/>
  <c r="H753" i="1"/>
  <c r="O752" i="1"/>
  <c r="P757" i="1" s="1"/>
  <c r="H752" i="1"/>
  <c r="H749" i="1"/>
  <c r="H748" i="1"/>
  <c r="H747" i="1"/>
  <c r="H746" i="1"/>
  <c r="O745" i="1"/>
  <c r="P750" i="1" s="1"/>
  <c r="H745" i="1"/>
  <c r="O742" i="1"/>
  <c r="P743" i="1" s="1"/>
  <c r="H742" i="1"/>
  <c r="I743" i="1" s="1"/>
  <c r="K741" i="1"/>
  <c r="H739" i="1"/>
  <c r="O738" i="1"/>
  <c r="P740" i="1" s="1"/>
  <c r="H738" i="1"/>
  <c r="H735" i="1"/>
  <c r="H734" i="1"/>
  <c r="H733" i="1"/>
  <c r="H732" i="1"/>
  <c r="O731" i="1"/>
  <c r="P736" i="1" s="1"/>
  <c r="H731" i="1"/>
  <c r="K730" i="1"/>
  <c r="H728" i="1"/>
  <c r="H727" i="1"/>
  <c r="H726" i="1"/>
  <c r="H725" i="1"/>
  <c r="O724" i="1"/>
  <c r="P729" i="1" s="1"/>
  <c r="H724" i="1"/>
  <c r="H721" i="1"/>
  <c r="H720" i="1"/>
  <c r="H719" i="1"/>
  <c r="H718" i="1"/>
  <c r="O717" i="1"/>
  <c r="P722" i="1" s="1"/>
  <c r="H717" i="1"/>
  <c r="O714" i="1"/>
  <c r="P715" i="1" s="1"/>
  <c r="H714" i="1"/>
  <c r="I715" i="1" s="1"/>
  <c r="K713" i="1"/>
  <c r="H711" i="1"/>
  <c r="O710" i="1"/>
  <c r="P712" i="1" s="1"/>
  <c r="H710" i="1"/>
  <c r="H707" i="1"/>
  <c r="H706" i="1"/>
  <c r="H705" i="1"/>
  <c r="H704" i="1"/>
  <c r="O703" i="1"/>
  <c r="P708" i="1" s="1"/>
  <c r="H703" i="1"/>
  <c r="K702" i="1"/>
  <c r="H700" i="1"/>
  <c r="H699" i="1"/>
  <c r="H698" i="1"/>
  <c r="H697" i="1"/>
  <c r="O696" i="1"/>
  <c r="P701" i="1" s="1"/>
  <c r="H696" i="1"/>
  <c r="H693" i="1"/>
  <c r="H692" i="1"/>
  <c r="H691" i="1"/>
  <c r="H690" i="1"/>
  <c r="O689" i="1"/>
  <c r="P694" i="1" s="1"/>
  <c r="H689" i="1"/>
  <c r="O686" i="1"/>
  <c r="P687" i="1" s="1"/>
  <c r="H686" i="1"/>
  <c r="I687" i="1" s="1"/>
  <c r="K685" i="1"/>
  <c r="O683" i="1"/>
  <c r="P684" i="1" s="1"/>
  <c r="H683" i="1"/>
  <c r="I684" i="1" s="1"/>
  <c r="H680" i="1"/>
  <c r="O679" i="1"/>
  <c r="P681" i="1" s="1"/>
  <c r="H679" i="1"/>
  <c r="H676" i="1"/>
  <c r="H675" i="1"/>
  <c r="H674" i="1"/>
  <c r="H673" i="1"/>
  <c r="O672" i="1"/>
  <c r="P677" i="1" s="1"/>
  <c r="H672" i="1"/>
  <c r="K671" i="1"/>
  <c r="H669" i="1"/>
  <c r="H668" i="1"/>
  <c r="H667" i="1"/>
  <c r="H666" i="1"/>
  <c r="O665" i="1"/>
  <c r="P670" i="1" s="1"/>
  <c r="H665" i="1"/>
  <c r="H662" i="1"/>
  <c r="H661" i="1"/>
  <c r="H660" i="1"/>
  <c r="H659" i="1"/>
  <c r="O658" i="1"/>
  <c r="P663" i="1" s="1"/>
  <c r="H658" i="1"/>
  <c r="O655" i="1"/>
  <c r="P656" i="1" s="1"/>
  <c r="H655" i="1"/>
  <c r="I656" i="1" s="1"/>
  <c r="K654" i="1"/>
  <c r="O652" i="1"/>
  <c r="P653" i="1" s="1"/>
  <c r="H652" i="1"/>
  <c r="I653" i="1" s="1"/>
  <c r="K651" i="1"/>
  <c r="O649" i="1"/>
  <c r="P650" i="1" s="1"/>
  <c r="H649" i="1"/>
  <c r="I650" i="1" s="1"/>
  <c r="K648" i="1"/>
  <c r="O646" i="1"/>
  <c r="P647" i="1" s="1"/>
  <c r="H646" i="1"/>
  <c r="I647" i="1" s="1"/>
  <c r="K645" i="1"/>
  <c r="O643" i="1"/>
  <c r="P644" i="1" s="1"/>
  <c r="H643" i="1"/>
  <c r="I644" i="1" s="1"/>
  <c r="K642" i="1"/>
  <c r="O640" i="1"/>
  <c r="P641" i="1" s="1"/>
  <c r="H640" i="1"/>
  <c r="I641" i="1" s="1"/>
  <c r="O637" i="1"/>
  <c r="P638" i="1" s="1"/>
  <c r="H637" i="1"/>
  <c r="I638" i="1" s="1"/>
  <c r="H634" i="1"/>
  <c r="O633" i="1"/>
  <c r="P635" i="1" s="1"/>
  <c r="H633" i="1"/>
  <c r="H630" i="1"/>
  <c r="H629" i="1"/>
  <c r="H628" i="1"/>
  <c r="H627" i="1"/>
  <c r="O626" i="1"/>
  <c r="P631" i="1" s="1"/>
  <c r="H626" i="1"/>
  <c r="K625" i="1"/>
  <c r="H623" i="1"/>
  <c r="H622" i="1"/>
  <c r="H621" i="1"/>
  <c r="H620" i="1"/>
  <c r="O619" i="1"/>
  <c r="P624" i="1" s="1"/>
  <c r="H619" i="1"/>
  <c r="H616" i="1"/>
  <c r="H615" i="1"/>
  <c r="H614" i="1"/>
  <c r="H613" i="1"/>
  <c r="O612" i="1"/>
  <c r="P617" i="1" s="1"/>
  <c r="H612" i="1"/>
  <c r="O609" i="1"/>
  <c r="P610" i="1" s="1"/>
  <c r="H609" i="1"/>
  <c r="I610" i="1" s="1"/>
  <c r="K608" i="1"/>
  <c r="O606" i="1"/>
  <c r="P607" i="1" s="1"/>
  <c r="H606" i="1"/>
  <c r="I607" i="1" s="1"/>
  <c r="O603" i="1"/>
  <c r="P604" i="1" s="1"/>
  <c r="H603" i="1"/>
  <c r="I604" i="1" s="1"/>
  <c r="H600" i="1"/>
  <c r="O599" i="1"/>
  <c r="P601" i="1" s="1"/>
  <c r="H599" i="1"/>
  <c r="H596" i="1"/>
  <c r="H595" i="1"/>
  <c r="H594" i="1"/>
  <c r="H593" i="1"/>
  <c r="O592" i="1"/>
  <c r="P597" i="1" s="1"/>
  <c r="H592" i="1"/>
  <c r="K591" i="1"/>
  <c r="H589" i="1"/>
  <c r="H588" i="1"/>
  <c r="H587" i="1"/>
  <c r="H586" i="1"/>
  <c r="O585" i="1"/>
  <c r="P590" i="1" s="1"/>
  <c r="H585" i="1"/>
  <c r="K584" i="1"/>
  <c r="H582" i="1"/>
  <c r="H581" i="1"/>
  <c r="H580" i="1"/>
  <c r="H579" i="1"/>
  <c r="O578" i="1"/>
  <c r="P583" i="1" s="1"/>
  <c r="H578" i="1"/>
  <c r="O575" i="1"/>
  <c r="P576" i="1" s="1"/>
  <c r="H575" i="1"/>
  <c r="I576" i="1" s="1"/>
  <c r="K574" i="1"/>
  <c r="O572" i="1"/>
  <c r="P573" i="1" s="1"/>
  <c r="H572" i="1"/>
  <c r="I573" i="1" s="1"/>
  <c r="H569" i="1"/>
  <c r="O568" i="1"/>
  <c r="P570" i="1" s="1"/>
  <c r="H568" i="1"/>
  <c r="H565" i="1"/>
  <c r="H564" i="1"/>
  <c r="H563" i="1"/>
  <c r="H562" i="1"/>
  <c r="O561" i="1"/>
  <c r="P566" i="1" s="1"/>
  <c r="H561" i="1"/>
  <c r="K560" i="1"/>
  <c r="H558" i="1"/>
  <c r="H557" i="1"/>
  <c r="H556" i="1"/>
  <c r="H555" i="1"/>
  <c r="O554" i="1"/>
  <c r="P559" i="1" s="1"/>
  <c r="H554" i="1"/>
  <c r="H551" i="1"/>
  <c r="H550" i="1"/>
  <c r="H549" i="1"/>
  <c r="H548" i="1"/>
  <c r="O547" i="1"/>
  <c r="P552" i="1" s="1"/>
  <c r="H547" i="1"/>
  <c r="O544" i="1"/>
  <c r="P545" i="1" s="1"/>
  <c r="H543" i="1"/>
  <c r="I545" i="1" s="1"/>
  <c r="H539" i="1"/>
  <c r="O538" i="1"/>
  <c r="P541" i="1" s="1"/>
  <c r="H538" i="1"/>
  <c r="O535" i="1"/>
  <c r="O534" i="1"/>
  <c r="O533" i="1"/>
  <c r="H533" i="1"/>
  <c r="I536" i="1" s="1"/>
  <c r="O530" i="1"/>
  <c r="P531" i="1" s="1"/>
  <c r="H529" i="1"/>
  <c r="I531" i="1" s="1"/>
  <c r="O526" i="1"/>
  <c r="P527" i="1" s="1"/>
  <c r="H525" i="1"/>
  <c r="H524" i="1"/>
  <c r="O521" i="1"/>
  <c r="O520" i="1"/>
  <c r="O519" i="1"/>
  <c r="H519" i="1"/>
  <c r="I522" i="1" s="1"/>
  <c r="O516" i="1"/>
  <c r="P517" i="1" s="1"/>
  <c r="H515" i="1"/>
  <c r="I517" i="1" s="1"/>
  <c r="H512" i="1"/>
  <c r="O511" i="1"/>
  <c r="P513" i="1" s="1"/>
  <c r="H511" i="1"/>
  <c r="O508" i="1"/>
  <c r="O507" i="1"/>
  <c r="O506" i="1"/>
  <c r="H506" i="1"/>
  <c r="I509" i="1" s="1"/>
  <c r="O503" i="1"/>
  <c r="P504" i="1" s="1"/>
  <c r="H502" i="1"/>
  <c r="I504" i="1" s="1"/>
  <c r="O499" i="1"/>
  <c r="H498" i="1"/>
  <c r="O497" i="1"/>
  <c r="H497" i="1"/>
  <c r="O494" i="1"/>
  <c r="O493" i="1"/>
  <c r="O492" i="1"/>
  <c r="H492" i="1"/>
  <c r="I495" i="1" s="1"/>
  <c r="O489" i="1"/>
  <c r="P490" i="1" s="1"/>
  <c r="H488" i="1"/>
  <c r="I490" i="1" s="1"/>
  <c r="H485" i="1"/>
  <c r="O484" i="1"/>
  <c r="P486" i="1" s="1"/>
  <c r="H484" i="1"/>
  <c r="O481" i="1"/>
  <c r="O480" i="1"/>
  <c r="O479" i="1"/>
  <c r="H479" i="1"/>
  <c r="I482" i="1" s="1"/>
  <c r="O476" i="1"/>
  <c r="P477" i="1" s="1"/>
  <c r="H475" i="1"/>
  <c r="I477" i="1" s="1"/>
  <c r="O472" i="1"/>
  <c r="H471" i="1"/>
  <c r="O470" i="1"/>
  <c r="H470" i="1"/>
  <c r="O467" i="1"/>
  <c r="O466" i="1"/>
  <c r="O465" i="1"/>
  <c r="H465" i="1"/>
  <c r="I468" i="1" s="1"/>
  <c r="O462" i="1"/>
  <c r="P463" i="1" s="1"/>
  <c r="H461" i="1"/>
  <c r="I463" i="1" s="1"/>
  <c r="O457" i="1"/>
  <c r="H457" i="1"/>
  <c r="O456" i="1"/>
  <c r="H456" i="1"/>
  <c r="O453" i="1"/>
  <c r="O452" i="1"/>
  <c r="O451" i="1"/>
  <c r="H451" i="1"/>
  <c r="I454" i="1" s="1"/>
  <c r="O448" i="1"/>
  <c r="P449" i="1" s="1"/>
  <c r="H447" i="1"/>
  <c r="I449" i="1" s="1"/>
  <c r="O444" i="1"/>
  <c r="H443" i="1"/>
  <c r="O442" i="1"/>
  <c r="H442" i="1"/>
  <c r="O439" i="1"/>
  <c r="O438" i="1"/>
  <c r="O437" i="1"/>
  <c r="H437" i="1"/>
  <c r="I440" i="1" s="1"/>
  <c r="O434" i="1"/>
  <c r="P435" i="1" s="1"/>
  <c r="H433" i="1"/>
  <c r="I435" i="1" s="1"/>
  <c r="O430" i="1"/>
  <c r="O429" i="1"/>
  <c r="H429" i="1"/>
  <c r="O428" i="1"/>
  <c r="H428" i="1"/>
  <c r="O425" i="1"/>
  <c r="O424" i="1"/>
  <c r="O423" i="1"/>
  <c r="H423" i="1"/>
  <c r="I426" i="1" s="1"/>
  <c r="O420" i="1"/>
  <c r="P421" i="1" s="1"/>
  <c r="H419" i="1"/>
  <c r="I421" i="1" s="1"/>
  <c r="O416" i="1"/>
  <c r="H415" i="1"/>
  <c r="O414" i="1"/>
  <c r="H414" i="1"/>
  <c r="O410" i="1"/>
  <c r="O409" i="1"/>
  <c r="H409" i="1"/>
  <c r="I412" i="1" s="1"/>
  <c r="O406" i="1"/>
  <c r="P407" i="1" s="1"/>
  <c r="H405" i="1"/>
  <c r="I407" i="1" s="1"/>
  <c r="O402" i="1"/>
  <c r="H402" i="1"/>
  <c r="O401" i="1"/>
  <c r="O400" i="1"/>
  <c r="P403" i="1" s="1"/>
  <c r="H400" i="1"/>
  <c r="O397" i="1"/>
  <c r="O396" i="1"/>
  <c r="O395" i="1"/>
  <c r="H395" i="1"/>
  <c r="I398" i="1" s="1"/>
  <c r="O392" i="1"/>
  <c r="P393" i="1" s="1"/>
  <c r="H391" i="1"/>
  <c r="I393" i="1" s="1"/>
  <c r="O388" i="1"/>
  <c r="P389" i="1" s="1"/>
  <c r="H388" i="1"/>
  <c r="I389" i="1" s="1"/>
  <c r="K387" i="1"/>
  <c r="O385" i="1"/>
  <c r="H384" i="1"/>
  <c r="O383" i="1"/>
  <c r="H383" i="1"/>
  <c r="O380" i="1"/>
  <c r="O379" i="1"/>
  <c r="O378" i="1"/>
  <c r="H378" i="1"/>
  <c r="I381" i="1" s="1"/>
  <c r="O375" i="1"/>
  <c r="P376" i="1" s="1"/>
  <c r="H374" i="1"/>
  <c r="I376" i="1" s="1"/>
  <c r="O371" i="1"/>
  <c r="P372" i="1" s="1"/>
  <c r="H371" i="1"/>
  <c r="I372" i="1" s="1"/>
  <c r="K370" i="1"/>
  <c r="H368" i="1"/>
  <c r="O367" i="1"/>
  <c r="P369" i="1" s="1"/>
  <c r="H367" i="1"/>
  <c r="O364" i="1"/>
  <c r="O363" i="1"/>
  <c r="O362" i="1"/>
  <c r="H362" i="1"/>
  <c r="I365" i="1" s="1"/>
  <c r="O359" i="1"/>
  <c r="P360" i="1" s="1"/>
  <c r="H358" i="1"/>
  <c r="I360" i="1" s="1"/>
  <c r="O355" i="1"/>
  <c r="O354" i="1"/>
  <c r="H354" i="1"/>
  <c r="O353" i="1"/>
  <c r="H353" i="1"/>
  <c r="O350" i="1"/>
  <c r="O349" i="1"/>
  <c r="O348" i="1"/>
  <c r="H348" i="1"/>
  <c r="I351" i="1" s="1"/>
  <c r="O345" i="1"/>
  <c r="P346" i="1" s="1"/>
  <c r="H344" i="1"/>
  <c r="I346" i="1" s="1"/>
  <c r="O341" i="1"/>
  <c r="H340" i="1"/>
  <c r="O339" i="1"/>
  <c r="H339" i="1"/>
  <c r="O336" i="1"/>
  <c r="O335" i="1"/>
  <c r="O334" i="1"/>
  <c r="H334" i="1"/>
  <c r="I337" i="1" s="1"/>
  <c r="O331" i="1"/>
  <c r="P332" i="1" s="1"/>
  <c r="H330" i="1"/>
  <c r="I332" i="1" s="1"/>
  <c r="O327" i="1"/>
  <c r="O326" i="1"/>
  <c r="H326" i="1"/>
  <c r="O325" i="1"/>
  <c r="H325" i="1"/>
  <c r="O322" i="1"/>
  <c r="O321" i="1"/>
  <c r="O320" i="1"/>
  <c r="H320" i="1"/>
  <c r="I323" i="1" s="1"/>
  <c r="O317" i="1"/>
  <c r="P318" i="1" s="1"/>
  <c r="H316" i="1"/>
  <c r="I318" i="1" s="1"/>
  <c r="H313" i="1"/>
  <c r="O312" i="1"/>
  <c r="P314" i="1" s="1"/>
  <c r="H312" i="1"/>
  <c r="O309" i="1"/>
  <c r="O308" i="1"/>
  <c r="O307" i="1"/>
  <c r="H307" i="1"/>
  <c r="I310" i="1" s="1"/>
  <c r="O304" i="1"/>
  <c r="P305" i="1" s="1"/>
  <c r="H303" i="1"/>
  <c r="I305" i="1" s="1"/>
  <c r="O300" i="1"/>
  <c r="H300" i="1"/>
  <c r="O299" i="1"/>
  <c r="P301" i="1" s="1"/>
  <c r="H299" i="1"/>
  <c r="O296" i="1"/>
  <c r="O295" i="1"/>
  <c r="O294" i="1"/>
  <c r="H294" i="1"/>
  <c r="I297" i="1" s="1"/>
  <c r="O291" i="1"/>
  <c r="P292" i="1" s="1"/>
  <c r="H290" i="1"/>
  <c r="I292" i="1" s="1"/>
  <c r="O287" i="1"/>
  <c r="O286" i="1"/>
  <c r="O285" i="1"/>
  <c r="O284" i="1"/>
  <c r="H283" i="1"/>
  <c r="O282" i="1"/>
  <c r="H282" i="1"/>
  <c r="O279" i="1"/>
  <c r="O278" i="1"/>
  <c r="O277" i="1"/>
  <c r="H277" i="1"/>
  <c r="I280" i="1" s="1"/>
  <c r="O274" i="1"/>
  <c r="P275" i="1" s="1"/>
  <c r="H273" i="1"/>
  <c r="I275" i="1" s="1"/>
  <c r="O270" i="1"/>
  <c r="H270" i="1"/>
  <c r="O268" i="1"/>
  <c r="P271" i="1" s="1"/>
  <c r="H268" i="1"/>
  <c r="O265" i="1"/>
  <c r="O264" i="1"/>
  <c r="O263" i="1"/>
  <c r="H263" i="1"/>
  <c r="I266" i="1" s="1"/>
  <c r="O260" i="1"/>
  <c r="P261" i="1" s="1"/>
  <c r="O259" i="1"/>
  <c r="H258" i="1"/>
  <c r="I261" i="1" s="1"/>
  <c r="O255" i="1"/>
  <c r="H254" i="1"/>
  <c r="O253" i="1"/>
  <c r="H253" i="1"/>
  <c r="O250" i="1"/>
  <c r="O249" i="1"/>
  <c r="O248" i="1"/>
  <c r="H248" i="1"/>
  <c r="I251" i="1" s="1"/>
  <c r="O245" i="1"/>
  <c r="P246" i="1" s="1"/>
  <c r="H244" i="1"/>
  <c r="I246" i="1" s="1"/>
  <c r="O241" i="1"/>
  <c r="H240" i="1"/>
  <c r="O239" i="1"/>
  <c r="H239" i="1"/>
  <c r="O236" i="1"/>
  <c r="O235" i="1"/>
  <c r="O234" i="1"/>
  <c r="H234" i="1"/>
  <c r="I237" i="1" s="1"/>
  <c r="O231" i="1"/>
  <c r="P232" i="1" s="1"/>
  <c r="H230" i="1"/>
  <c r="I232" i="1" s="1"/>
  <c r="O227" i="1"/>
  <c r="H227" i="1"/>
  <c r="O226" i="1"/>
  <c r="H226" i="1"/>
  <c r="O223" i="1"/>
  <c r="O222" i="1"/>
  <c r="O221" i="1"/>
  <c r="H221" i="1"/>
  <c r="I224" i="1" s="1"/>
  <c r="O218" i="1"/>
  <c r="P219" i="1" s="1"/>
  <c r="H217" i="1"/>
  <c r="I219" i="1" s="1"/>
  <c r="O214" i="1"/>
  <c r="P215" i="1" s="1"/>
  <c r="H214" i="1"/>
  <c r="I215" i="1" s="1"/>
  <c r="K213" i="1"/>
  <c r="O211" i="1"/>
  <c r="H211" i="1"/>
  <c r="O210" i="1"/>
  <c r="H210" i="1"/>
  <c r="O207" i="1"/>
  <c r="O206" i="1"/>
  <c r="O205" i="1"/>
  <c r="H205" i="1"/>
  <c r="I208" i="1" s="1"/>
  <c r="O202" i="1"/>
  <c r="P203" i="1" s="1"/>
  <c r="H201" i="1"/>
  <c r="I203" i="1" s="1"/>
  <c r="O198" i="1"/>
  <c r="H198" i="1"/>
  <c r="O197" i="1"/>
  <c r="P199" i="1" s="1"/>
  <c r="H197" i="1"/>
  <c r="O194" i="1"/>
  <c r="O193" i="1"/>
  <c r="O192" i="1"/>
  <c r="H192" i="1"/>
  <c r="I195" i="1" s="1"/>
  <c r="O189" i="1"/>
  <c r="P190" i="1" s="1"/>
  <c r="H188" i="1"/>
  <c r="I190" i="1" s="1"/>
  <c r="O185" i="1"/>
  <c r="H185" i="1"/>
  <c r="O184" i="1"/>
  <c r="P186" i="1" s="1"/>
  <c r="H184" i="1"/>
  <c r="O181" i="1"/>
  <c r="O180" i="1"/>
  <c r="O179" i="1"/>
  <c r="H179" i="1"/>
  <c r="I182" i="1" s="1"/>
  <c r="O176" i="1"/>
  <c r="P177" i="1" s="1"/>
  <c r="H175" i="1"/>
  <c r="I177" i="1" s="1"/>
  <c r="O172" i="1"/>
  <c r="O171" i="1"/>
  <c r="H171" i="1"/>
  <c r="O170" i="1"/>
  <c r="H170" i="1"/>
  <c r="O167" i="1"/>
  <c r="O166" i="1"/>
  <c r="O165" i="1"/>
  <c r="H165" i="1"/>
  <c r="I168" i="1" s="1"/>
  <c r="O162" i="1"/>
  <c r="P163" i="1" s="1"/>
  <c r="H161" i="1"/>
  <c r="I163" i="1" s="1"/>
  <c r="O158" i="1"/>
  <c r="H157" i="1"/>
  <c r="O156" i="1"/>
  <c r="H156" i="1"/>
  <c r="O153" i="1"/>
  <c r="O151" i="1"/>
  <c r="H151" i="1"/>
  <c r="I154" i="1" s="1"/>
  <c r="O148" i="1"/>
  <c r="P149" i="1" s="1"/>
  <c r="H147" i="1"/>
  <c r="I149" i="1" s="1"/>
  <c r="O144" i="1"/>
  <c r="P145" i="1" s="1"/>
  <c r="H144" i="1"/>
  <c r="I145" i="1" s="1"/>
  <c r="K143" i="1"/>
  <c r="O141" i="1"/>
  <c r="O140" i="1"/>
  <c r="H140" i="1"/>
  <c r="O139" i="1"/>
  <c r="H139" i="1"/>
  <c r="O136" i="1"/>
  <c r="O135" i="1"/>
  <c r="O134" i="1"/>
  <c r="H134" i="1"/>
  <c r="I137" i="1" s="1"/>
  <c r="O131" i="1"/>
  <c r="P132" i="1" s="1"/>
  <c r="H130" i="1"/>
  <c r="I132" i="1" s="1"/>
  <c r="O127" i="1"/>
  <c r="O126" i="1"/>
  <c r="H126" i="1"/>
  <c r="O125" i="1"/>
  <c r="H125" i="1"/>
  <c r="O122" i="1"/>
  <c r="O121" i="1"/>
  <c r="O120" i="1"/>
  <c r="H120" i="1"/>
  <c r="I123" i="1" s="1"/>
  <c r="O117" i="1"/>
  <c r="P118" i="1" s="1"/>
  <c r="H116" i="1"/>
  <c r="I118" i="1" s="1"/>
  <c r="O113" i="1"/>
  <c r="H113" i="1"/>
  <c r="O112" i="1"/>
  <c r="O111" i="1"/>
  <c r="H111" i="1"/>
  <c r="O108" i="1"/>
  <c r="O107" i="1"/>
  <c r="O106" i="1"/>
  <c r="H106" i="1"/>
  <c r="I109" i="1" s="1"/>
  <c r="O103" i="1"/>
  <c r="P104" i="1" s="1"/>
  <c r="H102" i="1"/>
  <c r="I104" i="1" s="1"/>
  <c r="O99" i="1"/>
  <c r="H99" i="1"/>
  <c r="O98" i="1"/>
  <c r="P100" i="1" s="1"/>
  <c r="H98" i="1"/>
  <c r="O95" i="1"/>
  <c r="O94" i="1"/>
  <c r="O93" i="1"/>
  <c r="H93" i="1"/>
  <c r="I96" i="1" s="1"/>
  <c r="O90" i="1"/>
  <c r="P91" i="1" s="1"/>
  <c r="H89" i="1"/>
  <c r="I91" i="1" s="1"/>
  <c r="O86" i="1"/>
  <c r="P87" i="1" s="1"/>
  <c r="H86" i="1"/>
  <c r="I87" i="1" s="1"/>
  <c r="K85" i="1"/>
  <c r="O83" i="1"/>
  <c r="O82" i="1"/>
  <c r="H82" i="1"/>
  <c r="O81" i="1"/>
  <c r="H81" i="1"/>
  <c r="O78" i="1"/>
  <c r="O77" i="1"/>
  <c r="O76" i="1"/>
  <c r="H76" i="1"/>
  <c r="I79" i="1" s="1"/>
  <c r="O73" i="1"/>
  <c r="P74" i="1" s="1"/>
  <c r="H72" i="1"/>
  <c r="I74" i="1" s="1"/>
  <c r="O69" i="1"/>
  <c r="H69" i="1"/>
  <c r="O68" i="1"/>
  <c r="H68" i="1"/>
  <c r="O65" i="1"/>
  <c r="O64" i="1"/>
  <c r="O63" i="1"/>
  <c r="H63" i="1"/>
  <c r="I66" i="1" s="1"/>
  <c r="O60" i="1"/>
  <c r="P61" i="1" s="1"/>
  <c r="H59" i="1"/>
  <c r="I61" i="1" s="1"/>
  <c r="O56" i="1"/>
  <c r="P57" i="1" s="1"/>
  <c r="H56" i="1"/>
  <c r="I57" i="1" s="1"/>
  <c r="K55" i="1"/>
  <c r="H53" i="1"/>
  <c r="O52" i="1"/>
  <c r="P54" i="1" s="1"/>
  <c r="H52" i="1"/>
  <c r="O49" i="1"/>
  <c r="O48" i="1"/>
  <c r="O47" i="1"/>
  <c r="H47" i="1"/>
  <c r="I50" i="1" s="1"/>
  <c r="O44" i="1"/>
  <c r="P45" i="1" s="1"/>
  <c r="H43" i="1"/>
  <c r="I45" i="1" s="1"/>
  <c r="O40" i="1"/>
  <c r="P41" i="1" s="1"/>
  <c r="H40" i="1"/>
  <c r="I41" i="1" s="1"/>
  <c r="K39" i="1"/>
  <c r="O37" i="1"/>
  <c r="O36" i="1"/>
  <c r="H36" i="1"/>
  <c r="O35" i="1"/>
  <c r="H35" i="1"/>
  <c r="O32" i="1"/>
  <c r="O31" i="1"/>
  <c r="O30" i="1"/>
  <c r="H30" i="1"/>
  <c r="I33" i="1" s="1"/>
  <c r="O27" i="1"/>
  <c r="P28" i="1" s="1"/>
  <c r="H26" i="1"/>
  <c r="I28" i="1" s="1"/>
  <c r="O23" i="1"/>
  <c r="P24" i="1" s="1"/>
  <c r="H23" i="1"/>
  <c r="I24" i="1" s="1"/>
  <c r="K22" i="1"/>
  <c r="O20" i="1"/>
  <c r="O19" i="1"/>
  <c r="H19" i="1"/>
  <c r="O18" i="1"/>
  <c r="H18" i="1"/>
  <c r="O15" i="1"/>
  <c r="O14" i="1"/>
  <c r="O13" i="1"/>
  <c r="H13" i="1"/>
  <c r="I16" i="1" s="1"/>
  <c r="I541" i="1" l="1"/>
  <c r="Q541" i="1" s="1"/>
  <c r="Q376" i="1"/>
  <c r="P1733" i="1"/>
  <c r="I1770" i="1"/>
  <c r="I635" i="1"/>
  <c r="Q635" i="1" s="1"/>
  <c r="P1742" i="1"/>
  <c r="Q1742" i="1" s="1"/>
  <c r="I84" i="1"/>
  <c r="P208" i="1"/>
  <c r="Q208" i="1" s="1"/>
  <c r="I473" i="1"/>
  <c r="Q477" i="1"/>
  <c r="P500" i="1"/>
  <c r="I570" i="1"/>
  <c r="Q570" i="1" s="1"/>
  <c r="Q604" i="1"/>
  <c r="Q1183" i="1"/>
  <c r="I1372" i="1"/>
  <c r="Q1372" i="1" s="1"/>
  <c r="I1608" i="1"/>
  <c r="Q1608" i="1" s="1"/>
  <c r="Q91" i="1"/>
  <c r="P109" i="1"/>
  <c r="Q109" i="1" s="1"/>
  <c r="P212" i="1"/>
  <c r="I342" i="1"/>
  <c r="I356" i="1"/>
  <c r="Q830" i="1"/>
  <c r="Q1288" i="1"/>
  <c r="Q1465" i="1"/>
  <c r="Q87" i="1"/>
  <c r="P154" i="1"/>
  <c r="Q154" i="1" s="1"/>
  <c r="P173" i="1"/>
  <c r="Q232" i="1"/>
  <c r="P280" i="1"/>
  <c r="Q280" i="1" s="1"/>
  <c r="Q318" i="1"/>
  <c r="Q490" i="1"/>
  <c r="Q641" i="1"/>
  <c r="Q1146" i="1"/>
  <c r="I1546" i="1"/>
  <c r="Q1546" i="1" s="1"/>
  <c r="Q898" i="1"/>
  <c r="Q1022" i="1"/>
  <c r="I985" i="1"/>
  <c r="Q985" i="1" s="1"/>
  <c r="Q1050" i="1"/>
  <c r="Q1462" i="1"/>
  <c r="I38" i="1"/>
  <c r="P431" i="1"/>
  <c r="P495" i="1"/>
  <c r="Q495" i="1" s="1"/>
  <c r="P70" i="1"/>
  <c r="I128" i="1"/>
  <c r="I21" i="1"/>
  <c r="P21" i="1"/>
  <c r="Q61" i="1"/>
  <c r="Q132" i="1"/>
  <c r="Q145" i="1"/>
  <c r="I159" i="1"/>
  <c r="Q163" i="1"/>
  <c r="I242" i="1"/>
  <c r="Q246" i="1"/>
  <c r="I417" i="1"/>
  <c r="I431" i="1"/>
  <c r="Q576" i="1"/>
  <c r="I750" i="1"/>
  <c r="Q750" i="1" s="1"/>
  <c r="Q833" i="1"/>
  <c r="I905" i="1"/>
  <c r="Q905" i="1" s="1"/>
  <c r="I954" i="1"/>
  <c r="Q954" i="1" s="1"/>
  <c r="Q1211" i="1"/>
  <c r="I1239" i="1"/>
  <c r="Q1239" i="1" s="1"/>
  <c r="I1262" i="1"/>
  <c r="Q1262" i="1" s="1"/>
  <c r="Q1316" i="1"/>
  <c r="I1344" i="1"/>
  <c r="Q1344" i="1" s="1"/>
  <c r="I1410" i="1"/>
  <c r="Q1410" i="1" s="1"/>
  <c r="Q1459" i="1"/>
  <c r="Q1639" i="1"/>
  <c r="P16" i="1"/>
  <c r="Q16" i="1" s="1"/>
  <c r="P454" i="1"/>
  <c r="Q454" i="1" s="1"/>
  <c r="Q504" i="1"/>
  <c r="I858" i="1"/>
  <c r="Q858" i="1" s="1"/>
  <c r="Q1053" i="1"/>
  <c r="I1197" i="1"/>
  <c r="Q1197" i="1" s="1"/>
  <c r="I1208" i="1"/>
  <c r="Q1208" i="1" s="1"/>
  <c r="I1396" i="1"/>
  <c r="Q1396" i="1" s="1"/>
  <c r="I1400" i="1"/>
  <c r="Q1400" i="1" s="1"/>
  <c r="Q1583" i="1"/>
  <c r="I1636" i="1"/>
  <c r="Q1636" i="1" s="1"/>
  <c r="Q28" i="1"/>
  <c r="P38" i="1"/>
  <c r="Q57" i="1"/>
  <c r="Q545" i="1"/>
  <c r="Q573" i="1"/>
  <c r="I812" i="1"/>
  <c r="Q812" i="1" s="1"/>
  <c r="I881" i="1"/>
  <c r="Q881" i="1" s="1"/>
  <c r="I1104" i="1"/>
  <c r="Q1104" i="1" s="1"/>
  <c r="I1228" i="1"/>
  <c r="Q1228" i="1" s="1"/>
  <c r="I1340" i="1"/>
  <c r="Q1340" i="1" s="1"/>
  <c r="I1368" i="1"/>
  <c r="Q1368" i="1" s="1"/>
  <c r="P1749" i="1"/>
  <c r="I173" i="1"/>
  <c r="I199" i="1"/>
  <c r="Q199" i="1" s="1"/>
  <c r="P224" i="1"/>
  <c r="Q224" i="1" s="1"/>
  <c r="P228" i="1"/>
  <c r="Q261" i="1"/>
  <c r="P266" i="1"/>
  <c r="Q266" i="1" s="1"/>
  <c r="P417" i="1"/>
  <c r="Q417" i="1" s="1"/>
  <c r="Q449" i="1"/>
  <c r="Q650" i="1"/>
  <c r="I796" i="1"/>
  <c r="Q796" i="1" s="1"/>
  <c r="I1143" i="1"/>
  <c r="Q1143" i="1" s="1"/>
  <c r="I1438" i="1"/>
  <c r="Q1438" i="1" s="1"/>
  <c r="Q1549" i="1"/>
  <c r="P1681" i="1"/>
  <c r="I114" i="1"/>
  <c r="P159" i="1"/>
  <c r="Q177" i="1"/>
  <c r="I228" i="1"/>
  <c r="P237" i="1"/>
  <c r="Q237" i="1" s="1"/>
  <c r="P251" i="1"/>
  <c r="Q251" i="1" s="1"/>
  <c r="P256" i="1"/>
  <c r="Q360" i="1"/>
  <c r="Q393" i="1"/>
  <c r="P398" i="1"/>
  <c r="Q398" i="1" s="1"/>
  <c r="P440" i="1"/>
  <c r="Q440" i="1" s="1"/>
  <c r="P445" i="1"/>
  <c r="Q463" i="1"/>
  <c r="I513" i="1"/>
  <c r="Q513" i="1" s="1"/>
  <c r="I559" i="1"/>
  <c r="Q559" i="1" s="1"/>
  <c r="Q771" i="1"/>
  <c r="I923" i="1"/>
  <c r="Q923" i="1" s="1"/>
  <c r="Q926" i="1"/>
  <c r="Q929" i="1"/>
  <c r="Q957" i="1"/>
  <c r="I1176" i="1"/>
  <c r="Q1176" i="1" s="1"/>
  <c r="Q1242" i="1"/>
  <c r="Q1276" i="1"/>
  <c r="I1295" i="1"/>
  <c r="Q1295" i="1" s="1"/>
  <c r="I1479" i="1"/>
  <c r="Q1479" i="1" s="1"/>
  <c r="I1518" i="1"/>
  <c r="Q332" i="1"/>
  <c r="Q149" i="1"/>
  <c r="Q45" i="1"/>
  <c r="Q292" i="1"/>
  <c r="P351" i="1"/>
  <c r="Q351" i="1" s="1"/>
  <c r="P365" i="1"/>
  <c r="Q365" i="1" s="1"/>
  <c r="Q24" i="1"/>
  <c r="P33" i="1"/>
  <c r="Q33" i="1" s="1"/>
  <c r="I54" i="1"/>
  <c r="Q54" i="1" s="1"/>
  <c r="P66" i="1"/>
  <c r="Q66" i="1" s="1"/>
  <c r="I100" i="1"/>
  <c r="Q100" i="1" s="1"/>
  <c r="Q104" i="1"/>
  <c r="Q118" i="1"/>
  <c r="P123" i="1"/>
  <c r="Q123" i="1" s="1"/>
  <c r="P137" i="1"/>
  <c r="Q137" i="1" s="1"/>
  <c r="P182" i="1"/>
  <c r="Q182" i="1" s="1"/>
  <c r="P242" i="1"/>
  <c r="I301" i="1"/>
  <c r="Q301" i="1" s="1"/>
  <c r="P310" i="1"/>
  <c r="Q310" i="1" s="1"/>
  <c r="I369" i="1"/>
  <c r="Q369" i="1" s="1"/>
  <c r="P386" i="1"/>
  <c r="Q389" i="1"/>
  <c r="Q644" i="1"/>
  <c r="Q988" i="1"/>
  <c r="Q1016" i="1"/>
  <c r="Q1087" i="1"/>
  <c r="Q1214" i="1"/>
  <c r="Q1518" i="1"/>
  <c r="Q1580" i="1"/>
  <c r="Q1670" i="1"/>
  <c r="Q190" i="1"/>
  <c r="P297" i="1"/>
  <c r="Q297" i="1" s="1"/>
  <c r="Q346" i="1"/>
  <c r="P50" i="1"/>
  <c r="Q50" i="1" s="1"/>
  <c r="I70" i="1"/>
  <c r="P79" i="1"/>
  <c r="Q79" i="1" s="1"/>
  <c r="P84" i="1"/>
  <c r="I142" i="1"/>
  <c r="P142" i="1"/>
  <c r="P168" i="1"/>
  <c r="Q168" i="1" s="1"/>
  <c r="I186" i="1"/>
  <c r="Q186" i="1" s="1"/>
  <c r="P195" i="1"/>
  <c r="Q195" i="1" s="1"/>
  <c r="I288" i="1"/>
  <c r="P288" i="1"/>
  <c r="I314" i="1"/>
  <c r="Q314" i="1" s="1"/>
  <c r="I328" i="1"/>
  <c r="P337" i="1"/>
  <c r="Q337" i="1" s="1"/>
  <c r="Q867" i="1"/>
  <c r="Q1248" i="1"/>
  <c r="Q1684" i="1"/>
  <c r="I386" i="1"/>
  <c r="P412" i="1"/>
  <c r="Q412" i="1" s="1"/>
  <c r="P468" i="1"/>
  <c r="Q468" i="1" s="1"/>
  <c r="P473" i="1"/>
  <c r="Q531" i="1"/>
  <c r="P536" i="1"/>
  <c r="Q536" i="1" s="1"/>
  <c r="I601" i="1"/>
  <c r="Q601" i="1" s="1"/>
  <c r="I624" i="1"/>
  <c r="Q624" i="1" s="1"/>
  <c r="Q647" i="1"/>
  <c r="Q653" i="1"/>
  <c r="I722" i="1"/>
  <c r="Q722" i="1" s="1"/>
  <c r="I736" i="1"/>
  <c r="Q736" i="1" s="1"/>
  <c r="I740" i="1"/>
  <c r="Q740" i="1" s="1"/>
  <c r="I826" i="1"/>
  <c r="Q826" i="1" s="1"/>
  <c r="Q864" i="1"/>
  <c r="I912" i="1"/>
  <c r="Q912" i="1" s="1"/>
  <c r="Q960" i="1"/>
  <c r="I967" i="1"/>
  <c r="Q967" i="1" s="1"/>
  <c r="I974" i="1"/>
  <c r="Q974" i="1" s="1"/>
  <c r="I1097" i="1"/>
  <c r="Q1097" i="1" s="1"/>
  <c r="Q1118" i="1"/>
  <c r="I1155" i="1"/>
  <c r="Q1155" i="1" s="1"/>
  <c r="Q1279" i="1"/>
  <c r="I1309" i="1"/>
  <c r="Q1309" i="1" s="1"/>
  <c r="Q1403" i="1"/>
  <c r="I1417" i="1"/>
  <c r="Q1417" i="1" s="1"/>
  <c r="I1428" i="1"/>
  <c r="Q1428" i="1" s="1"/>
  <c r="I1456" i="1"/>
  <c r="Q1456" i="1" s="1"/>
  <c r="I1472" i="1"/>
  <c r="Q1472" i="1" s="1"/>
  <c r="Q1493" i="1"/>
  <c r="I1514" i="1"/>
  <c r="Q1514" i="1" s="1"/>
  <c r="Q1521" i="1"/>
  <c r="I1577" i="1"/>
  <c r="Q1577" i="1" s="1"/>
  <c r="I1597" i="1"/>
  <c r="Q1597" i="1" s="1"/>
  <c r="Q1611" i="1"/>
  <c r="I1649" i="1"/>
  <c r="Q1649" i="1" s="1"/>
  <c r="Q1674" i="1"/>
  <c r="P1715" i="1"/>
  <c r="Q1736" i="1"/>
  <c r="Q1759" i="1"/>
  <c r="P1770" i="1"/>
  <c r="Q407" i="1"/>
  <c r="I486" i="1"/>
  <c r="Q486" i="1" s="1"/>
  <c r="I500" i="1"/>
  <c r="I566" i="1"/>
  <c r="Q566" i="1" s="1"/>
  <c r="I597" i="1"/>
  <c r="Q597" i="1" s="1"/>
  <c r="Q610" i="1"/>
  <c r="I663" i="1"/>
  <c r="Q663" i="1" s="1"/>
  <c r="I670" i="1"/>
  <c r="Q670" i="1" s="1"/>
  <c r="I681" i="1"/>
  <c r="Q681" i="1" s="1"/>
  <c r="I694" i="1"/>
  <c r="Q694" i="1" s="1"/>
  <c r="I708" i="1"/>
  <c r="Q708" i="1" s="1"/>
  <c r="I712" i="1"/>
  <c r="Q712" i="1" s="1"/>
  <c r="I778" i="1"/>
  <c r="Q778" i="1" s="1"/>
  <c r="Q805" i="1"/>
  <c r="I874" i="1"/>
  <c r="Q874" i="1" s="1"/>
  <c r="I888" i="1"/>
  <c r="Q888" i="1" s="1"/>
  <c r="I892" i="1"/>
  <c r="Q892" i="1" s="1"/>
  <c r="I943" i="1"/>
  <c r="Q943" i="1" s="1"/>
  <c r="I981" i="1"/>
  <c r="Q981" i="1" s="1"/>
  <c r="I995" i="1"/>
  <c r="Q995" i="1" s="1"/>
  <c r="I1002" i="1"/>
  <c r="Q1002" i="1" s="1"/>
  <c r="I1013" i="1"/>
  <c r="Q1013" i="1" s="1"/>
  <c r="I1047" i="1"/>
  <c r="Q1047" i="1" s="1"/>
  <c r="I1063" i="1"/>
  <c r="Q1063" i="1" s="1"/>
  <c r="I1070" i="1"/>
  <c r="Q1070" i="1" s="1"/>
  <c r="I1081" i="1"/>
  <c r="Q1081" i="1" s="1"/>
  <c r="Q1090" i="1"/>
  <c r="I1115" i="1"/>
  <c r="Q1115" i="1" s="1"/>
  <c r="I1125" i="1"/>
  <c r="Q1125" i="1" s="1"/>
  <c r="I1139" i="1"/>
  <c r="Q1139" i="1" s="1"/>
  <c r="I1255" i="1"/>
  <c r="Q1255" i="1" s="1"/>
  <c r="I1269" i="1"/>
  <c r="Q1269" i="1" s="1"/>
  <c r="I1273" i="1"/>
  <c r="Q1273" i="1" s="1"/>
  <c r="Q1431" i="1"/>
  <c r="I1486" i="1"/>
  <c r="Q1486" i="1" s="1"/>
  <c r="I1490" i="1"/>
  <c r="Q1490" i="1" s="1"/>
  <c r="I1535" i="1"/>
  <c r="Q1535" i="1" s="1"/>
  <c r="Q1642" i="1"/>
  <c r="I1667" i="1"/>
  <c r="Q1667" i="1" s="1"/>
  <c r="P1691" i="1"/>
  <c r="Q1691" i="1" s="1"/>
  <c r="I1701" i="1"/>
  <c r="P1701" i="1"/>
  <c r="I1733" i="1"/>
  <c r="Q1733" i="1" s="1"/>
  <c r="P1755" i="1"/>
  <c r="Q1755" i="1" s="1"/>
  <c r="P1778" i="1"/>
  <c r="Q1778" i="1" s="1"/>
  <c r="P426" i="1"/>
  <c r="Q426" i="1" s="1"/>
  <c r="P482" i="1"/>
  <c r="Q482" i="1" s="1"/>
  <c r="P522" i="1"/>
  <c r="Q522" i="1" s="1"/>
  <c r="I527" i="1"/>
  <c r="Q527" i="1" s="1"/>
  <c r="I583" i="1"/>
  <c r="Q583" i="1" s="1"/>
  <c r="Q607" i="1"/>
  <c r="I631" i="1"/>
  <c r="Q631" i="1" s="1"/>
  <c r="I677" i="1"/>
  <c r="Q677" i="1" s="1"/>
  <c r="Q684" i="1"/>
  <c r="I764" i="1"/>
  <c r="Q764" i="1" s="1"/>
  <c r="Q799" i="1"/>
  <c r="Q802" i="1"/>
  <c r="I819" i="1"/>
  <c r="Q819" i="1" s="1"/>
  <c r="I847" i="1"/>
  <c r="Q847" i="1" s="1"/>
  <c r="I919" i="1"/>
  <c r="Q919" i="1" s="1"/>
  <c r="I936" i="1"/>
  <c r="Q936" i="1" s="1"/>
  <c r="I1009" i="1"/>
  <c r="Q1009" i="1" s="1"/>
  <c r="I1043" i="1"/>
  <c r="Q1043" i="1" s="1"/>
  <c r="I1077" i="1"/>
  <c r="Q1077" i="1" s="1"/>
  <c r="Q1084" i="1"/>
  <c r="I1162" i="1"/>
  <c r="Q1162" i="1" s="1"/>
  <c r="Q1245" i="1"/>
  <c r="Q1282" i="1"/>
  <c r="I1424" i="1"/>
  <c r="Q1424" i="1" s="1"/>
  <c r="I1507" i="1"/>
  <c r="Q1507" i="1" s="1"/>
  <c r="I1528" i="1"/>
  <c r="Q1528" i="1" s="1"/>
  <c r="Q1552" i="1"/>
  <c r="I1559" i="1"/>
  <c r="Q1559" i="1" s="1"/>
  <c r="I1566" i="1"/>
  <c r="Q1566" i="1" s="1"/>
  <c r="I1590" i="1"/>
  <c r="Q1590" i="1" s="1"/>
  <c r="I1604" i="1"/>
  <c r="Q1604" i="1" s="1"/>
  <c r="I1625" i="1"/>
  <c r="Q1625" i="1" s="1"/>
  <c r="Q1718" i="1"/>
  <c r="I1749" i="1"/>
  <c r="Q1763" i="1"/>
  <c r="Q41" i="1"/>
  <c r="P323" i="1"/>
  <c r="Q323" i="1" s="1"/>
  <c r="Q74" i="1"/>
  <c r="I403" i="1"/>
  <c r="Q403" i="1" s="1"/>
  <c r="Q517" i="1"/>
  <c r="I1029" i="1"/>
  <c r="Q1029" i="1" s="1"/>
  <c r="I1132" i="1"/>
  <c r="Q1132" i="1" s="1"/>
  <c r="P1151" i="1"/>
  <c r="Q1151" i="1" s="1"/>
  <c r="P381" i="1"/>
  <c r="Q381" i="1" s="1"/>
  <c r="I445" i="1"/>
  <c r="I459" i="1"/>
  <c r="P509" i="1"/>
  <c r="Q509" i="1" s="1"/>
  <c r="Q638" i="1"/>
  <c r="I785" i="1"/>
  <c r="Q785" i="1" s="1"/>
  <c r="Q1180" i="1"/>
  <c r="I1221" i="1"/>
  <c r="Q1221" i="1" s="1"/>
  <c r="I1445" i="1"/>
  <c r="Q1445" i="1" s="1"/>
  <c r="I1656" i="1"/>
  <c r="Q1656" i="1" s="1"/>
  <c r="P1708" i="1"/>
  <c r="Q1708" i="1" s="1"/>
  <c r="Q372" i="1"/>
  <c r="I552" i="1"/>
  <c r="Q552" i="1" s="1"/>
  <c r="I950" i="1"/>
  <c r="Q950" i="1" s="1"/>
  <c r="P96" i="1"/>
  <c r="Q96" i="1" s="1"/>
  <c r="P114" i="1"/>
  <c r="P128" i="1"/>
  <c r="Q203" i="1"/>
  <c r="I212" i="1"/>
  <c r="Q215" i="1"/>
  <c r="Q219" i="1"/>
  <c r="I256" i="1"/>
  <c r="I271" i="1"/>
  <c r="Q271" i="1" s="1"/>
  <c r="Q275" i="1"/>
  <c r="Q305" i="1"/>
  <c r="P328" i="1"/>
  <c r="P342" i="1"/>
  <c r="P356" i="1"/>
  <c r="Q421" i="1"/>
  <c r="Q435" i="1"/>
  <c r="P459" i="1"/>
  <c r="I590" i="1"/>
  <c r="Q590" i="1" s="1"/>
  <c r="I617" i="1"/>
  <c r="Q617" i="1" s="1"/>
  <c r="Q656" i="1"/>
  <c r="Q687" i="1"/>
  <c r="I701" i="1"/>
  <c r="Q701" i="1" s="1"/>
  <c r="Q715" i="1"/>
  <c r="I729" i="1"/>
  <c r="Q729" i="1" s="1"/>
  <c r="Q743" i="1"/>
  <c r="I757" i="1"/>
  <c r="Q757" i="1" s="1"/>
  <c r="I768" i="1"/>
  <c r="Q768" i="1" s="1"/>
  <c r="I792" i="1"/>
  <c r="Q792" i="1" s="1"/>
  <c r="I854" i="1"/>
  <c r="Q854" i="1" s="1"/>
  <c r="I1036" i="1"/>
  <c r="Q1036" i="1" s="1"/>
  <c r="I840" i="1"/>
  <c r="Q840" i="1" s="1"/>
  <c r="Q861" i="1"/>
  <c r="Q895" i="1"/>
  <c r="I1111" i="1"/>
  <c r="Q1111" i="1" s="1"/>
  <c r="I1190" i="1"/>
  <c r="Q1190" i="1" s="1"/>
  <c r="Q1285" i="1"/>
  <c r="I1573" i="1"/>
  <c r="Q1573" i="1" s="1"/>
  <c r="I1681" i="1"/>
  <c r="Q1019" i="1"/>
  <c r="Q1056" i="1"/>
  <c r="I1169" i="1"/>
  <c r="Q1169" i="1" s="1"/>
  <c r="I1204" i="1"/>
  <c r="Q1204" i="1" s="1"/>
  <c r="I1235" i="1"/>
  <c r="Q1235" i="1" s="1"/>
  <c r="Q1319" i="1"/>
  <c r="I1333" i="1"/>
  <c r="Q1333" i="1" s="1"/>
  <c r="Q1347" i="1"/>
  <c r="I1361" i="1"/>
  <c r="Q1361" i="1" s="1"/>
  <c r="Q1375" i="1"/>
  <c r="I1389" i="1"/>
  <c r="Q1389" i="1" s="1"/>
  <c r="I1542" i="1"/>
  <c r="Q1542" i="1" s="1"/>
  <c r="I1618" i="1"/>
  <c r="Q1618" i="1" s="1"/>
  <c r="I1715" i="1"/>
  <c r="P1726" i="1"/>
  <c r="Q1726" i="1" s="1"/>
  <c r="I1302" i="1"/>
  <c r="Q1302" i="1" s="1"/>
  <c r="I1313" i="1"/>
  <c r="Q1313" i="1" s="1"/>
  <c r="I1326" i="1"/>
  <c r="Q1326" i="1" s="1"/>
  <c r="I1354" i="1"/>
  <c r="Q1354" i="1" s="1"/>
  <c r="I1382" i="1"/>
  <c r="Q1382" i="1" s="1"/>
  <c r="I1452" i="1"/>
  <c r="Q1452" i="1" s="1"/>
  <c r="I1500" i="1"/>
  <c r="Q1500" i="1" s="1"/>
  <c r="I1632" i="1"/>
  <c r="Q1632" i="1" s="1"/>
  <c r="I1663" i="1"/>
  <c r="Q1663" i="1" s="1"/>
  <c r="Q1694" i="1"/>
  <c r="Q256" i="1" l="1"/>
  <c r="Q212" i="1"/>
  <c r="Q1770" i="1"/>
  <c r="Q84" i="1"/>
  <c r="Q500" i="1"/>
  <c r="Q159" i="1"/>
  <c r="Q473" i="1"/>
  <c r="Q342" i="1"/>
  <c r="Q356" i="1"/>
  <c r="Q1749" i="1"/>
  <c r="Q114" i="1"/>
  <c r="Q386" i="1"/>
  <c r="Q431" i="1"/>
  <c r="Q445" i="1"/>
  <c r="Q228" i="1"/>
  <c r="Q1681" i="1"/>
  <c r="Q70" i="1"/>
  <c r="Q38" i="1"/>
  <c r="Q21" i="1"/>
  <c r="Q128" i="1"/>
  <c r="Q173" i="1"/>
  <c r="Q242" i="1"/>
  <c r="Q288" i="1"/>
  <c r="Q142" i="1"/>
  <c r="Q328" i="1"/>
  <c r="Q1701" i="1"/>
  <c r="Q1715" i="1"/>
  <c r="Q459" i="1"/>
</calcChain>
</file>

<file path=xl/sharedStrings.xml><?xml version="1.0" encoding="utf-8"?>
<sst xmlns="http://schemas.openxmlformats.org/spreadsheetml/2006/main" count="10054" uniqueCount="646">
  <si>
    <t>ОТЧЕТ</t>
  </si>
  <si>
    <t>о выполнении муниципальных заданий</t>
  </si>
  <si>
    <t>муниципальными бюджетными учреждениями, подведомственными "Управление общего и дошкольного образования Администрации города Норильска"</t>
  </si>
  <si>
    <t>№ п/п</t>
  </si>
  <si>
    <t>Критерии оценки выполнения муниципального задания</t>
  </si>
  <si>
    <t>показатели, характеризующие КАЧЕСТВО муниципальных услуг (работ)</t>
  </si>
  <si>
    <t>показатели, характеризующие ОБЪЕМ муниципальной услуги (работы)</t>
  </si>
  <si>
    <t>ОЦитоговая</t>
  </si>
  <si>
    <t>наименование показателя</t>
  </si>
  <si>
    <t>Единица измерения</t>
  </si>
  <si>
    <t>Интерпретация оценки по каждой услуге (работе)</t>
  </si>
  <si>
    <t>Интерпретация оценки по муниципальному заданию</t>
  </si>
  <si>
    <t>муниципальное автономное дошкольное образовательное учреждение "Детский сад № 1 "Северок"</t>
  </si>
  <si>
    <t>I</t>
  </si>
  <si>
    <t>Реализация основных общеобразовательных программ дошкольного образования</t>
  </si>
  <si>
    <t>Муниципальное задание выполнено в полном объеме</t>
  </si>
  <si>
    <t>1.1.</t>
  </si>
  <si>
    <t>Доля родителей (ЗП), удовлетворенных условиями и качеством предоставляемой услуги.</t>
  </si>
  <si>
    <t>%</t>
  </si>
  <si>
    <t>обучающиеся за исключением обучающихся с ОВЗ и детей-инвалидов (от 1  до 3 лет)</t>
  </si>
  <si>
    <t>чел.</t>
  </si>
  <si>
    <t>1.2.</t>
  </si>
  <si>
    <t>обучающиеся за исключением обучающихся с ОВЗ и детей-инвалидов (от 3  до 8 лет)</t>
  </si>
  <si>
    <t>1.3.</t>
  </si>
  <si>
    <t xml:space="preserve">обучающиеся с ОВЗ (от 3  до 8 лет) </t>
  </si>
  <si>
    <t>выполнено в полном объеме</t>
  </si>
  <si>
    <t>II</t>
  </si>
  <si>
    <t>Присмотр и уход</t>
  </si>
  <si>
    <t>2.1.</t>
  </si>
  <si>
    <t>Обучающиеся за исключением обучающихся с ОВЗ и детей-инвалидов (от 3 до 8 лет)</t>
  </si>
  <si>
    <t>2.2.</t>
  </si>
  <si>
    <t>Снижение общей заболеваемости воспитанников, посещающих учреждения исполнителя услуги, количество дней в год</t>
  </si>
  <si>
    <t>дни</t>
  </si>
  <si>
    <t>Дети-сироты и дети, оставшиеся без попечения родителей (группа полного дня)</t>
  </si>
  <si>
    <t>2.3.</t>
  </si>
  <si>
    <t>Дети-инвалиды (группа полного дня)</t>
  </si>
  <si>
    <t>III</t>
  </si>
  <si>
    <t>Предоставление консультационных и методических услуг</t>
  </si>
  <si>
    <t>3.1.</t>
  </si>
  <si>
    <t>Число обучающихся и родителей (законных представителей) педагогических работников</t>
  </si>
  <si>
    <t>Количество проведенных консультаций</t>
  </si>
  <si>
    <t>шт.</t>
  </si>
  <si>
    <t>муниципальное автономное дошкольное образовательное учреждение "Детский сад № 2 "Умка"</t>
  </si>
  <si>
    <t>Обучающиеся за исключением обучающихся с ОВЗ и детей-инвалидов (от 1 до 3 лет)</t>
  </si>
  <si>
    <t>Обучающиеся с ОВЗ и детей-инвалидов (от 3 до 8 лет)</t>
  </si>
  <si>
    <t>Физические лица за исключением льготных категорий (группа полного дня)</t>
  </si>
  <si>
    <t xml:space="preserve">чел. </t>
  </si>
  <si>
    <t>муниципальное бюджетное дошкольное образовательное учреждение "Детский сад № 3 "Солнышко"</t>
  </si>
  <si>
    <t xml:space="preserve">Муниципальное задание в целом выполнено </t>
  </si>
  <si>
    <t xml:space="preserve">обучающиеся за исключением обучающихся с ОВЗ и детей-инвалидов (от 1  до 3 лет) </t>
  </si>
  <si>
    <t xml:space="preserve">обучающиеся ОВЗ (от 3  до 8 лет) </t>
  </si>
  <si>
    <t>4.</t>
  </si>
  <si>
    <t>муниципальное бюджетное дошкольное образовательное учреждение "Детский сад № 4 "Колокольчик"</t>
  </si>
  <si>
    <t xml:space="preserve">Физические лица за исключением льготных категорий </t>
  </si>
  <si>
    <t>5.</t>
  </si>
  <si>
    <t>муниципальное автономное дошкольное образовательное учреждение "Детский сад № 5 "Норильчонок"</t>
  </si>
  <si>
    <t>Обучающиеся с ОВЗ (от 3 до 8 лет)</t>
  </si>
  <si>
    <t>6.</t>
  </si>
  <si>
    <t>муниципальное бюджетное дошкольное образовательное учреждение № 8 "Центр развития ребёнка-Детский сад "Тундровичок"</t>
  </si>
  <si>
    <t>7.</t>
  </si>
  <si>
    <t>муниципальное бюджетное дошкольное образовательное учреждение "Детский сад № 9 "Зимушка"</t>
  </si>
  <si>
    <t>8.</t>
  </si>
  <si>
    <t>муниципальное бюджетное дошкольное образовательное учреждение "Детский сад № 14 "Оленёнок"</t>
  </si>
  <si>
    <t>Физические лица за исключением льготных категорий</t>
  </si>
  <si>
    <t>9.</t>
  </si>
  <si>
    <t>муниципальное бюджетное дошкольное образовательное учреждение "Детский сад № 18 "Полянка"</t>
  </si>
  <si>
    <t>10.</t>
  </si>
  <si>
    <t>муниципальное бюджетное дошкольное образовательное учреждение  "Детский сад № 24 "Родничок"</t>
  </si>
  <si>
    <t>муниципальное бюджетное дошкольное образовательное учреждение  "Детский сад № 28 "Веселинка"</t>
  </si>
  <si>
    <t>муниципальное бюджетное дошкольное образовательное учреждение  "Детский сад № 29 "Вишенка"</t>
  </si>
  <si>
    <t>муниципальное бюджетное дошкольное образовательное учреждение   "Детский сад № 32 "Снегирек"</t>
  </si>
  <si>
    <t>муниципальное бюджетное дошкольное образовательное учреждение "Детский сад № 36 "Полянка"</t>
  </si>
  <si>
    <t>Обучающиеся с ОВЗ  (от 3 до 8 лет)</t>
  </si>
  <si>
    <t>муниципальное автономное дошкольное образовательное учреждение "Детский сад № 45 "Улыбка"</t>
  </si>
  <si>
    <t>муниципальное бюджетное дошкольное образовательное учреждение  "Детский сад № 59 "Золушка"</t>
  </si>
  <si>
    <t>муниципальное бюджетное дошкольное образовательное учреждение "Детский сад № 66 "Радость"</t>
  </si>
  <si>
    <t>муниципальное бюджетное дошкольное образовательное учреждение "Детский сад № 68 "Ладушки"</t>
  </si>
  <si>
    <t>Физические лица за исключением льготных категорий (группа круглосуточного пребывания) (число детей)</t>
  </si>
  <si>
    <t>2.4.</t>
  </si>
  <si>
    <t>2.5.</t>
  </si>
  <si>
    <t>Дети с туберкулезной интоксикацией (группа круглосуточного пребывания) (число детей)</t>
  </si>
  <si>
    <t>муниципальное бюджетное дошкольное образовательное учреждение № 71 "Детский сад "Антошка"</t>
  </si>
  <si>
    <t>дети- инвалиды</t>
  </si>
  <si>
    <t>муниципальное бюджетное дошкольное образовательное учреждение № 73 "Центр развития ребенка - Детский сад "Веселые человечки"</t>
  </si>
  <si>
    <t>муниципальное бюджетное дошкольное образовательное учреждение  "Детский сад № 74 "Земляничка"</t>
  </si>
  <si>
    <t>муниципальное бюджетное дошкольное образовательное учреждение "Детский сад № 75 "Зайчонок"</t>
  </si>
  <si>
    <t>муниципальное бюджетное дошкольное образовательное учреждение "Детский сад № 78 "Василёк"</t>
  </si>
  <si>
    <t>муниципальное автономное дошкольное образовательное учреждение  № 81 "Центр развития ребенка - Детский сад "Конек-Горбунок"</t>
  </si>
  <si>
    <t>муниципальное бюджетное дошкольное образовательное учреждение "Детский сад № 82 "Сказка"</t>
  </si>
  <si>
    <t>число обучающихся и родителей (законных представителей) педагогических работников</t>
  </si>
  <si>
    <t>муниципальное бюджетное дошкольное образовательное учреждение "Детский сад № 83 "Золотой петушок"</t>
  </si>
  <si>
    <t>муниципальное бюджетное дошкольное образовательное учреждение "Детский сад № 84 "Голубок"</t>
  </si>
  <si>
    <t>муниципальное бюджетное дошкольное образовательное учреждение "Детский сад № 86 "Брусничка"</t>
  </si>
  <si>
    <t xml:space="preserve">Физические лица за исключением льготных категорий (группа круглосуточного пребывания) </t>
  </si>
  <si>
    <t>муниципальное бюджетное дошкольное образовательное учреждение  "Детский сад № 90  "Цветик-Семицветик"</t>
  </si>
  <si>
    <t>муниципальное бюджетное дошкольное образовательное учреждение  "Детский сад № 92 "Облачко"</t>
  </si>
  <si>
    <t>муниципальное бюджетное дошкольное образовательное учреждение "Детский сад № 93 "Капитошка"</t>
  </si>
  <si>
    <t>муниципальное бюджетное дошкольное образовательное учреждение  "Детский сад № 95 "Снежинка"</t>
  </si>
  <si>
    <t>муниципальное бюджетное дошкольное образовательное учреждение № 96 "Детский сад "Капельки"</t>
  </si>
  <si>
    <t>муниципальное бюджетное дошкольное образовательное учреждение  "Детский сад № 97 "Светлица"</t>
  </si>
  <si>
    <t>муниципальное бюджетное дошкольное образовательное учреждение "Детский сад № 98 "Загадка"</t>
  </si>
  <si>
    <t>муниципальное бюджетное дошкольное образовательное учреждение "Детский сад № 99 "Топ-топ"</t>
  </si>
  <si>
    <t>муниципальное бюджетное общеобразовательное учреждение "Гимназия № 1"</t>
  </si>
  <si>
    <t>Реализация основных общеобразовательных программ начального общего образования</t>
  </si>
  <si>
    <t>Муниципальное задание в целом выполнено</t>
  </si>
  <si>
    <t>Освоение обучающимися основной образовательной программы начального общего образования</t>
  </si>
  <si>
    <t>Число обучающихся</t>
  </si>
  <si>
    <t>Полнота реализации ФФООПНОО</t>
  </si>
  <si>
    <t>Уровень соответствия учебного плана требованиям ФГОС</t>
  </si>
  <si>
    <t>1.4.</t>
  </si>
  <si>
    <t>1.5.</t>
  </si>
  <si>
    <t>Доля своевременно устраненных ОУ нарушений, выявленных в результате проверок органами исполнительной власти субъектов РФ, осуществляющими функции по контролю и надзору в сфере образования</t>
  </si>
  <si>
    <t>в целом выполнено</t>
  </si>
  <si>
    <t>Реализация основных общеобразовательных программ основного общего образования</t>
  </si>
  <si>
    <t>Освоение обучающимися основной образовательной программы основного общего образования</t>
  </si>
  <si>
    <t>Полнота реализации ФООПООО</t>
  </si>
  <si>
    <t>Реализация основных общеобразовательных программ среднего общего образования</t>
  </si>
  <si>
    <t>Освоение обучающимися основной образовательной программы среднего общего образования</t>
  </si>
  <si>
    <t>3.2.</t>
  </si>
  <si>
    <t>Полнота реализации ФООПСОО</t>
  </si>
  <si>
    <t>3.3.</t>
  </si>
  <si>
    <t>3.4.</t>
  </si>
  <si>
    <t>3.5.</t>
  </si>
  <si>
    <t>IV</t>
  </si>
  <si>
    <t>4.1.</t>
  </si>
  <si>
    <t>Доля удовлетворенных заявлений родителей на зачисление в ГПД</t>
  </si>
  <si>
    <t>Число детей</t>
  </si>
  <si>
    <t>4.2.</t>
  </si>
  <si>
    <t>Доля родителей (законных представителей), удовлетворенных условиями и качеством предоставляемой образовательной услуги</t>
  </si>
  <si>
    <t>V</t>
  </si>
  <si>
    <t>Реализация дополнительных общеразвивающих программ</t>
  </si>
  <si>
    <t>5.1.</t>
  </si>
  <si>
    <t>Количество человеко-часов</t>
  </si>
  <si>
    <t>чел. /час.</t>
  </si>
  <si>
    <t>муниципальное автономное общеобразовательное учреждение "Гимназия № 4"</t>
  </si>
  <si>
    <t>Полнота реализации ФООПНОО</t>
  </si>
  <si>
    <t>Число человек-часов</t>
  </si>
  <si>
    <t>чел/час.</t>
  </si>
  <si>
    <t>муниципальное бюджетное общеобразовательное учреждение "Гимназия № 5"</t>
  </si>
  <si>
    <t>чел./час.</t>
  </si>
  <si>
    <t>VI</t>
  </si>
  <si>
    <t>Психолого-медико-педагогическое обследование детей начальное общее образование</t>
  </si>
  <si>
    <t>6.1.</t>
  </si>
  <si>
    <t xml:space="preserve">Доля выданных коллегиальных заключений от общего числа обследованных </t>
  </si>
  <si>
    <t>VII</t>
  </si>
  <si>
    <t xml:space="preserve">Психолого-медико-педагогическое обследование детей основное общее образование </t>
  </si>
  <si>
    <t>7.1.</t>
  </si>
  <si>
    <t>VIII</t>
  </si>
  <si>
    <t xml:space="preserve">Психолого-медико-педагогическое обследование детей среднее общее образование </t>
  </si>
  <si>
    <t>8.1.</t>
  </si>
  <si>
    <t>IX</t>
  </si>
  <si>
    <t>Психолого-медико-педагогическое обследование детей дошкольное общее образование</t>
  </si>
  <si>
    <t>9.1.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</si>
  <si>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</si>
  <si>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"Гимназия № 11"</t>
  </si>
  <si>
    <t>муниципальное автономное общеобразовательное учреждение "Гимназия № 48"</t>
  </si>
  <si>
    <t>Число 
обучающихся</t>
  </si>
  <si>
    <t>Доля родителей (ЗП), удовлетворенных условиями и качеством предоставляемой услуги</t>
  </si>
  <si>
    <t>чел/час</t>
  </si>
  <si>
    <t>муниципальное бюджетное общеобразовательное учреждение "Лицей № 3"</t>
  </si>
  <si>
    <t>муниципальное бюджетное общеобразовательное учреждение "Средняя школа № 1 с углубленным изучением физики и математики им. А.П. Завенягина"</t>
  </si>
  <si>
    <t>Научно-методическое и ресурсное обеспечение системы образования</t>
  </si>
  <si>
    <t>Кол-во мероприятий (ед.)</t>
  </si>
  <si>
    <t>штука</t>
  </si>
  <si>
    <t>муниципальное бюджетное общеобразовательное учреждение "Средняя школа № 3"</t>
  </si>
  <si>
    <t>муниципальное бюджетное общеобразовательное учреждение "Средняя школа № 6"</t>
  </si>
  <si>
    <t>муниципальное бюджетное общеобразовательное учреждение "Средняя школа № 8"</t>
  </si>
  <si>
    <t>муниципальное бюджетное общеобразовательное учреждение "Средняя школа № 9"</t>
  </si>
  <si>
    <t>муниципальное бюджетное общеобразовательное учреждение "Средняя школа № 13"</t>
  </si>
  <si>
    <t>муниципальное бюджетное общеобразовательное учреждение "Средняя школа № 14"</t>
  </si>
  <si>
    <t>муниципальное бюджетное общеобразовательное учреждение "Средняя школа № 16"</t>
  </si>
  <si>
    <t>муниципальное бюджетное общеобразовательное учреждение "Средняя школа № 17"</t>
  </si>
  <si>
    <t>муниципальное бюджетное общеобразовательное учреждение "Средняя школа № 20"</t>
  </si>
  <si>
    <t>муниципальное бюджетное общеобразовательное учреждение "Средняя школа № 21"</t>
  </si>
  <si>
    <t>муниципальное бюджетное общеобразовательное учреждение "Средняя школа № 23"</t>
  </si>
  <si>
    <t>муниципальное бюджетное общеобразовательное учреждение "Средняя школа № 24"</t>
  </si>
  <si>
    <t>процент</t>
  </si>
  <si>
    <t xml:space="preserve">число обучающихся </t>
  </si>
  <si>
    <t>Снижение общей заболеваемости воспитанников, посещающих учреждения исполнителя услуги</t>
  </si>
  <si>
    <t xml:space="preserve">количество дней </t>
  </si>
  <si>
    <t>4.3.</t>
  </si>
  <si>
    <t>4.4.</t>
  </si>
  <si>
    <t>4.5.</t>
  </si>
  <si>
    <t>5.2.</t>
  </si>
  <si>
    <t>5.3.</t>
  </si>
  <si>
    <t>5.4.</t>
  </si>
  <si>
    <t>5.5.</t>
  </si>
  <si>
    <t xml:space="preserve">6.1. </t>
  </si>
  <si>
    <t>6.2.</t>
  </si>
  <si>
    <t>муниципальное бюджетное общеобразовательное учреждение "Средняя школа № 27"</t>
  </si>
  <si>
    <t>муниципальное бюджетное общеобразовательное учреждение "Средняя школа № 28"</t>
  </si>
  <si>
    <t>муниципальное бюджетное общеобразовательное учреждение "Средняя школа № 29"</t>
  </si>
  <si>
    <t>Содержание детей на уровне начального общего образования</t>
  </si>
  <si>
    <t>Содержание детей на уровне основного общего образования</t>
  </si>
  <si>
    <t>муниципальное бюджетное общеобразовательное учреждение "Средняя школа № 30"</t>
  </si>
  <si>
    <t>муниципальное бюджетное общеобразовательное учреждение "Средняя школа № 31"</t>
  </si>
  <si>
    <t>муниципальное бюджетное общеобразовательное учреждение "Средняя школа № 32"</t>
  </si>
  <si>
    <t>муниципальное бюджетное общеобразовательное учреждение "Средняя школа № 33"</t>
  </si>
  <si>
    <t>муниципальное бюджетное общеобразовательное учреждение "Средняя школа № 36"</t>
  </si>
  <si>
    <t>муниципальное бюджетное общеобразовательное учреждение "Средняя школа № 37"</t>
  </si>
  <si>
    <t>муниципальное бюджетное общеобразовательное учреждение "Средняя школа № 38"</t>
  </si>
  <si>
    <t>муниципальное бюджетное общеобразовательное учреждение  "Средняя школа № 39"</t>
  </si>
  <si>
    <t>муниципальное бюджетное общеобразовательное учреждение "Средняя школа № 40"</t>
  </si>
  <si>
    <t>муниципальное бюджетное общеобразовательное учреждение "Средняя школа № 41"</t>
  </si>
  <si>
    <t>муниципальное бюджетное общеобразовательное учреждение "Средняя школа № 42"</t>
  </si>
  <si>
    <t>муниципальное бюджетное общеобразовательное учреждение "Средняя школа № 43"</t>
  </si>
  <si>
    <t>муниципальное бюджетное общеобразовательное учреждение "Средняя школа № 45"</t>
  </si>
  <si>
    <t>муниципальное бюджетное общеобразовательное учреждение ДО "Социально-образовательный центр"</t>
  </si>
  <si>
    <t>Доля родителей (ЗП), удовлетворенных качеством оказываемой услуги.</t>
  </si>
  <si>
    <t>Количество человек/часов художественная направленность</t>
  </si>
  <si>
    <t>Количество человек/часов социально-педагогическая направленность</t>
  </si>
  <si>
    <t>Организация и проведение культурно-массовых мероприятий</t>
  </si>
  <si>
    <t>Выполнение календарного плана</t>
  </si>
  <si>
    <t>Количество проведенных мероприятий</t>
  </si>
  <si>
    <t>2.1.1.</t>
  </si>
  <si>
    <t>творческие (фестивали, выставки, конкурсы, смотры)</t>
  </si>
  <si>
    <t>ед.</t>
  </si>
  <si>
    <t>2.1.2.</t>
  </si>
  <si>
    <t>культурно-массовые (иные зрелищные мероприятия)</t>
  </si>
  <si>
    <t>2.1.3.</t>
  </si>
  <si>
    <t>методические (семинар, конференция)</t>
  </si>
  <si>
    <t>Организация мероприятий, направленных на профилактику асоциального и деструктивного поведения подростков и молодежи, поддержка детей и молодежи, находящейся в социально-опасном положении</t>
  </si>
  <si>
    <t>муниципальное бюджетное учреждение дополнительного образования "Дом детского творчества"</t>
  </si>
  <si>
    <t>Количество человек/часов</t>
  </si>
  <si>
    <t>1.1.1.</t>
  </si>
  <si>
    <t>социально-педагогической направленности</t>
  </si>
  <si>
    <t>1.1.2.</t>
  </si>
  <si>
    <t>художественной направленности</t>
  </si>
  <si>
    <t>1.1.3.</t>
  </si>
  <si>
    <t>техническая направленность</t>
  </si>
  <si>
    <t>1.1.4.</t>
  </si>
  <si>
    <t>физкультурно-спортивной направленности</t>
  </si>
  <si>
    <t>Реализация адаптированных дополнительных общеобразовательных программ</t>
  </si>
  <si>
    <t>доля родителей (ЗП), удовлетворенных качеством оказываемой услуги</t>
  </si>
  <si>
    <t>3.1.1.</t>
  </si>
  <si>
    <t>3.1.2.</t>
  </si>
  <si>
    <t>3.1.3.</t>
  </si>
  <si>
    <t>мастер-классы</t>
  </si>
  <si>
    <t>3.1.4.</t>
  </si>
  <si>
    <t>муниципальное автономное учреждение дополнительного образования "Дворец творчества детей и молодежи"</t>
  </si>
  <si>
    <t>2.1.4.</t>
  </si>
  <si>
    <t>Реализация адаптированных дополнительных образовательных программ</t>
  </si>
  <si>
    <t xml:space="preserve"> художественная направленность </t>
  </si>
  <si>
    <t>муниципальное бюджетное учреждение дополнительного образования  "Центр внешкольной работы"</t>
  </si>
  <si>
    <t>естественно-научной направленности</t>
  </si>
  <si>
    <t xml:space="preserve"> -</t>
  </si>
  <si>
    <t>1.1.5.</t>
  </si>
  <si>
    <t>Организация и проведение культурно-массовых мероприятий (творческих)</t>
  </si>
  <si>
    <t>количество проведенных мероприятий  (выставки, конкурсы, смотры)</t>
  </si>
  <si>
    <t>творческие (зрелищные, культурно-массовые)</t>
  </si>
  <si>
    <t>количество проведенных культурно-массовых мероприятий (иные зрелищные мероприятия)</t>
  </si>
  <si>
    <t>творческие (мастер-классы)</t>
  </si>
  <si>
    <t>творческие (конференции, семинары)</t>
  </si>
  <si>
    <t>количество проведенных мероприятий (конференции, семинары)</t>
  </si>
  <si>
    <t>Количество человек/часов социально-педагогической направленности</t>
  </si>
  <si>
    <t>муниципальное бюджетное учреждение дополнительного образования "Станция юных техников"</t>
  </si>
  <si>
    <t>культурно-массовые (зрелищные, культурно-массовые)</t>
  </si>
  <si>
    <t>муниципальное бюджетное учреждение дополнительного образования "Станция детского и юношеского туризма и экскурсий"</t>
  </si>
  <si>
    <t>туристско-краеведческая направленность</t>
  </si>
  <si>
    <t xml:space="preserve">II </t>
  </si>
  <si>
    <t>выставки, конкурсы, смотры</t>
  </si>
  <si>
    <t>иные зрелищные мероприятия</t>
  </si>
  <si>
    <t>муниципальное бюджетное учреждение "Методический центр"</t>
  </si>
  <si>
    <t>Доля охвата педагогических работников ОУ различными формами методического сопровождения (семинарские занятия, мастер-классы, выездные семинары, клубная деятельность, творческие группы педагогов, школьные команды в рамках реализации программы информатизации)</t>
  </si>
  <si>
    <t>Количество работ</t>
  </si>
  <si>
    <t>Методическое обеспечение образовательной деятельности</t>
  </si>
  <si>
    <t>Отсутствие обоснованных претензий потребителей к качеству предоставляемой работы</t>
  </si>
  <si>
    <t>Количество отчетов, составленных по результатам работы</t>
  </si>
  <si>
    <t>Отсутствие обоснованных претензий учредителя к организации предоставления работы</t>
  </si>
  <si>
    <t>Количество разработанных документов</t>
  </si>
  <si>
    <t>Количество мероприятий</t>
  </si>
  <si>
    <t>за 2025 г.</t>
  </si>
  <si>
    <t xml:space="preserve">Муниципальное задание выполнено в полном объеме </t>
  </si>
  <si>
    <t>Число промежуточных итоговых аттестаций</t>
  </si>
  <si>
    <t>Проведение промежуточной итоговой аттестации лиц, осваивающих основную образовательную программу в форме самообразования или семейного образования либо обучавшихся по не имеющей государственной аккредитации образовательной программе основного общего образования</t>
  </si>
  <si>
    <t>Проведение промежуточной итоговой аттестации лиц, осваивающих основную образовательную программу в форме самообразования или семейного образования либо обучавшихся по не имеющей государственной аккредитации образовательной программе начального общего образования</t>
  </si>
  <si>
    <t>Проведение промежуточной итоговой аттестации лиц, осваивающих основную образовательную программу в форме самообразования или семейного образования либо обучавшихся по не имеющей государственной аккредитации образовательной программе начальногно общего образования</t>
  </si>
  <si>
    <t>X</t>
  </si>
  <si>
    <t>10.1.</t>
  </si>
  <si>
    <t>XI</t>
  </si>
  <si>
    <t>11.1.</t>
  </si>
  <si>
    <t>Кол-во работ (ед.)</t>
  </si>
  <si>
    <t>Доля охвата педагогических работников ОУ различными формами методического сопровождения (семинарские занятия, мастер-классы, выездные семинары, клубная деятельность, творческие группы педагогов, школьные команды в рамках реализации программы информатизаци)</t>
  </si>
  <si>
    <t>физкультурно-спортивная направленность</t>
  </si>
  <si>
    <t>4.1.1.</t>
  </si>
  <si>
    <t>художественная направленность</t>
  </si>
  <si>
    <t>cоциально- гуманитарная направленность</t>
  </si>
  <si>
    <t>социально-гуманитарная направленность</t>
  </si>
  <si>
    <t>физкультурно- спортивная направленность</t>
  </si>
  <si>
    <t>техническая  направленность</t>
  </si>
  <si>
    <t>физкультурно - спортивная направленность</t>
  </si>
  <si>
    <t>социально - гуманитарная направленность</t>
  </si>
  <si>
    <t xml:space="preserve">выполнено в полном объеме </t>
  </si>
  <si>
    <t>социально- гуманитарная  направленность</t>
  </si>
  <si>
    <t>физкультурно спортивная  направленность</t>
  </si>
  <si>
    <t>социально - гуманитарная  направленность</t>
  </si>
  <si>
    <t>естественнонаучная  направленность</t>
  </si>
  <si>
    <t>Доля родителей (ЗП), удовлетворенных качеством оказываемой услуги</t>
  </si>
  <si>
    <t>ИТОГО</t>
  </si>
  <si>
    <t>МБУ и МАУ, подведомственные Управлению по делам культуры и искусства Администрации города Норильска 
(12 учреждений, из них: 6 учреждений культуры, 6 учреждений дополнительного образования)</t>
  </si>
  <si>
    <t>МБУ и МАУ, подведомственные Управлению дорожно-транспортной инфраструктуры Администрации города Норильска 
(2 учреждения, из них:  МБУ "Автохозяйство", МАУ ДО "Норильский центр безопасности движения")</t>
  </si>
  <si>
    <t>МБУ и МАУ, подведомственные Администрации города Норильска 
(3 учреждения, из них:  МАУ "Центр развития туризма", МАУ "Информационный центр "Норильские новости", 
МБУ "Молодежный центр")</t>
  </si>
  <si>
    <t>Муниципальное задание не выполнено</t>
  </si>
  <si>
    <t>Наименование</t>
  </si>
  <si>
    <t>Распространение программ собственного производства (количество) (не менее 1 раза в сутки)</t>
  </si>
  <si>
    <t>час</t>
  </si>
  <si>
    <t>Самостоятельное формирование сетки вещания (не менее 24 часов в сутки)</t>
  </si>
  <si>
    <t>Количество телепередач</t>
  </si>
  <si>
    <t>Размещение социально-значимых материалов (количество раз)      (не менее 1 (одного) раза в сутки)</t>
  </si>
  <si>
    <t>Производство и распространение телепрограмм</t>
  </si>
  <si>
    <t xml:space="preserve"> - газета "Норильск сегодня"</t>
  </si>
  <si>
    <t>для льготных категорий граждан</t>
  </si>
  <si>
    <t>1.2.1.</t>
  </si>
  <si>
    <t xml:space="preserve"> - приложение "Важные бумаги" (публикация НПА Администрации города Норильска) всего, в том числе:</t>
  </si>
  <si>
    <t>газета "Норильск сегодня"</t>
  </si>
  <si>
    <t xml:space="preserve"> - газета "Заполярная правда" всего, в том числе:</t>
  </si>
  <si>
    <t>приложение "Важные бумаги"</t>
  </si>
  <si>
    <t>газета "Заполярная правда"</t>
  </si>
  <si>
    <t>Общий отпечатанный тираж, в пересчете на 8-полосник формата А3, всего, в том числе:</t>
  </si>
  <si>
    <t>1.</t>
  </si>
  <si>
    <t>Выполнение планового объема работ по выпуску газеты в пересчете на 8-полосник формата А3</t>
  </si>
  <si>
    <t>Осуществление издательской деятельности</t>
  </si>
  <si>
    <r>
      <t>ОЦ</t>
    </r>
    <r>
      <rPr>
        <vertAlign val="subscript"/>
        <sz val="13"/>
        <color theme="1"/>
        <rFont val="Times New Roman"/>
        <family val="1"/>
        <charset val="204"/>
      </rPr>
      <t>итоговая</t>
    </r>
  </si>
  <si>
    <r>
      <t>К</t>
    </r>
    <r>
      <rPr>
        <vertAlign val="subscript"/>
        <sz val="13"/>
        <color theme="1"/>
        <rFont val="Times New Roman"/>
        <family val="1"/>
        <charset val="204"/>
      </rPr>
      <t>2</t>
    </r>
  </si>
  <si>
    <r>
      <t>К</t>
    </r>
    <r>
      <rPr>
        <vertAlign val="subscript"/>
        <sz val="13"/>
        <color theme="1"/>
        <rFont val="Times New Roman"/>
        <family val="1"/>
        <charset val="204"/>
      </rPr>
      <t>2i</t>
    </r>
  </si>
  <si>
    <r>
      <t>К</t>
    </r>
    <r>
      <rPr>
        <vertAlign val="subscript"/>
        <sz val="13"/>
        <color theme="1"/>
        <rFont val="Times New Roman"/>
        <family val="1"/>
        <charset val="204"/>
      </rPr>
      <t>2ф</t>
    </r>
  </si>
  <si>
    <r>
      <t>К</t>
    </r>
    <r>
      <rPr>
        <vertAlign val="subscript"/>
        <sz val="13"/>
        <color theme="1"/>
        <rFont val="Times New Roman"/>
        <family val="1"/>
        <charset val="204"/>
      </rPr>
      <t>2пл</t>
    </r>
  </si>
  <si>
    <r>
      <t>К</t>
    </r>
    <r>
      <rPr>
        <vertAlign val="subscript"/>
        <sz val="13"/>
        <color theme="1"/>
        <rFont val="Times New Roman"/>
        <family val="1"/>
        <charset val="204"/>
      </rPr>
      <t>1</t>
    </r>
  </si>
  <si>
    <r>
      <t>К</t>
    </r>
    <r>
      <rPr>
        <vertAlign val="subscript"/>
        <sz val="13"/>
        <color theme="1"/>
        <rFont val="Times New Roman"/>
        <family val="1"/>
        <charset val="204"/>
      </rPr>
      <t>1i</t>
    </r>
  </si>
  <si>
    <r>
      <t>К</t>
    </r>
    <r>
      <rPr>
        <vertAlign val="subscript"/>
        <sz val="13"/>
        <color theme="1"/>
        <rFont val="Times New Roman"/>
        <family val="1"/>
        <charset val="204"/>
      </rPr>
      <t>1фi</t>
    </r>
  </si>
  <si>
    <r>
      <t>К</t>
    </r>
    <r>
      <rPr>
        <vertAlign val="subscript"/>
        <sz val="13"/>
        <color theme="1"/>
        <rFont val="Times New Roman"/>
        <family val="1"/>
        <charset val="204"/>
      </rPr>
      <t>1плi</t>
    </r>
  </si>
  <si>
    <t>(наименование муниципального учреждения)</t>
  </si>
  <si>
    <t>муниципальным автономным учреждением "Информационный центр "Норильские новости"</t>
  </si>
  <si>
    <t>об исполнении муниципального задания</t>
  </si>
  <si>
    <t>единица</t>
  </si>
  <si>
    <t>Количество посещений</t>
  </si>
  <si>
    <t>Наличие обоснованных жалоб</t>
  </si>
  <si>
    <t>Оказание туристско-информационных услуг 
(удаленно через сеть интернет)</t>
  </si>
  <si>
    <t>Оказание туристско-информационных услуг 
(вне стационара)</t>
  </si>
  <si>
    <t>Количество предоставленной информации</t>
  </si>
  <si>
    <t>Оказание туристско-информационных услуг 
(в стационарных условиях)</t>
  </si>
  <si>
    <t>муниципальным автономным учреждением «Центр развития туризма»</t>
  </si>
  <si>
    <t>выполнено в полном обьеме</t>
  </si>
  <si>
    <t>Наличие случаев невосполнимых потерь муниципального имущества на объектах транспортного хозяйства</t>
  </si>
  <si>
    <t xml:space="preserve">2.3. </t>
  </si>
  <si>
    <t>не менее 40%</t>
  </si>
  <si>
    <t>Доля вывезенного снега от общего объема выпавшего снега</t>
  </si>
  <si>
    <t>квадратный метр</t>
  </si>
  <si>
    <t>Площадь  территории</t>
  </si>
  <si>
    <t>не менее 70%</t>
  </si>
  <si>
    <t>Доля убранной территории от общей закрепленной площади</t>
  </si>
  <si>
    <t>Уборка территории и аналогичная деятельность</t>
  </si>
  <si>
    <t xml:space="preserve">Машино-часы работы автомобилей </t>
  </si>
  <si>
    <t>Выполнение планового объема работы автомобилей</t>
  </si>
  <si>
    <t>Муниципальное задание выполнено в полном обьеме</t>
  </si>
  <si>
    <t>Организация и осуществление транспортного обслуживания должностных лиц, государственных органов и государственных учреждений Красноярского края, органов местного самоуправления и муниципальных учреждений Красноярского края, избирательных комиссий</t>
  </si>
  <si>
    <r>
      <t>К</t>
    </r>
    <r>
      <rPr>
        <vertAlign val="subscript"/>
        <sz val="14"/>
        <color theme="1"/>
        <rFont val="Times New Roman"/>
        <family val="1"/>
        <charset val="204"/>
      </rPr>
      <t>2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</si>
  <si>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2i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</si>
  <si>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2ф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</si>
  <si>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2пл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</si>
  <si>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1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</si>
  <si>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1i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</si>
  <si>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1фi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</si>
  <si>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1плi</t>
    </r>
  </si>
  <si>
    <t>муниципальным бюджетным учреждением "Автохозяйство"</t>
  </si>
  <si>
    <t>о выполнении муниципального задания</t>
  </si>
  <si>
    <t xml:space="preserve"> за 2025 г.</t>
  </si>
  <si>
    <t xml:space="preserve">Количество спортсменов </t>
  </si>
  <si>
    <t>Удельный вес спортсменов принявших участие в официальных спортивных соревнованиях, в их общей численности</t>
  </si>
  <si>
    <t>Организация мероприятий по подготовке спортивных сборных команд</t>
  </si>
  <si>
    <t>Количество участников физкультурных мероприятий</t>
  </si>
  <si>
    <t>Организация и проведение официальных физкультурных (физкультурно-оздоровительных) мероприятий</t>
  </si>
  <si>
    <t>Количество участников спортивных мероприятий</t>
  </si>
  <si>
    <t xml:space="preserve">Организация и проведение официальных спортивных мероприятий </t>
  </si>
  <si>
    <t>Коэффициент удовлетворенности спортсменов, посетивших объекты спорта для проведения физкультурных мероприятий, спортивных мероприятий</t>
  </si>
  <si>
    <t>Реализация на объектах спорта физкультурных и спортивных мероприятий, проводимых в рамках утвержденных календарных планов официальных физкультурных мероприятий</t>
  </si>
  <si>
    <t>Количество договоров</t>
  </si>
  <si>
    <t>Обеспечение доступа к объектам спорта</t>
  </si>
  <si>
    <t>Количество занятий</t>
  </si>
  <si>
    <t>Организация физкультурно-спортивной работы по месту жительства граждан</t>
  </si>
  <si>
    <t>Муниципальное бюджетное учреждение "Стадион "Заполярник"</t>
  </si>
  <si>
    <t>наличие обоснованных жалоб</t>
  </si>
  <si>
    <t>Количество участников</t>
  </si>
  <si>
    <t>Организация и проведение официальных спортивных мероприятий</t>
  </si>
  <si>
    <t>Реализация на объектах спорта физкультурных и спортивных мероприятий, проводимых в рамках утвержденных календарных планов официальных физкультурных и спортивных мероприятий</t>
  </si>
  <si>
    <t>Муниципальное бюджетное учреждение "Спортивный комплекс "Талнах"</t>
  </si>
  <si>
    <t>Муниципальное бюджетное учреждение "Спортивный комплекс "Кайеркан"</t>
  </si>
  <si>
    <t>12.</t>
  </si>
  <si>
    <t>Коэффициент удовлетворительности спортсменов, посетивших объекты спорта для проведения физкультурных мероприятий, спортивных мероприятий</t>
  </si>
  <si>
    <t>Муниципальное бюджетное учреждение "Лыжная база "Оль-Гуль"</t>
  </si>
  <si>
    <t>11.</t>
  </si>
  <si>
    <t xml:space="preserve">Муниципальное задание в целом выполнено  </t>
  </si>
  <si>
    <t>Муниципальное бюджетное учреждение "Дом спорта "БОКМО"</t>
  </si>
  <si>
    <t>6.1</t>
  </si>
  <si>
    <t>проц.</t>
  </si>
  <si>
    <t>Удельный вес спортсменов – обладателей призовых мест, завоеванных в официальных мероприятиях в составе сборных команд, от общей численности направленных на данное мероприятие спортсменов</t>
  </si>
  <si>
    <t>Обеспечение участия в официальных физкультурных (физкультурно-оздоровительных) мероприятиях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</si>
  <si>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</si>
  <si>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>Количество участников мероприятий</t>
  </si>
  <si>
    <t>Проведение тестирования выполнения нормативов испытаний (тестов) комплекса ГТО</t>
  </si>
  <si>
    <t>Коэффициент удовлетворенности спортсменов посетивших объекты спорта для проведения физкультурных мероприятий, спортивных мероприятий</t>
  </si>
  <si>
    <t>Муниципальное бюджетное учреждение "Дворец спорта "Арктика"</t>
  </si>
  <si>
    <t>чел</t>
  </si>
  <si>
    <t>Удельный вес спортсменов принявших участие в официальных спортивных соревнованиях,  в их общей численности</t>
  </si>
  <si>
    <t>-</t>
  </si>
  <si>
    <t>Число лиц, прошедших спортивную подготовку, выполнивших требования федерального стандарта спортивной подготовки по соответствующему виду спорта, по результатам реализации дополнительных образовательных программ спортивной подготовки на этапе высшего спортивного мастерства</t>
  </si>
  <si>
    <t xml:space="preserve">Число лиц, прошедших спортивную подготовку на этапе спортивной подготовки 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</si>
  <si>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</t>
  </si>
  <si>
    <t>Реализация дополнительных образовательных программ спортивной подготовки по олимпийским видам спорта 
Водное поло (учебно-тренировочный этап (этап спортивной специализации))</t>
  </si>
  <si>
    <t>Реализация дополнительных образовательных программ спортивной подготовки по олимпийским видам спорта 
Водное поло (этап начальной подготовки)</t>
  </si>
  <si>
    <t>Реализация дополнительных образовательных программ спортивной подготовки по олимпийским видам спорта 
Плавание (этап совершенствования спортивного мастерства)</t>
  </si>
  <si>
    <t>Реализация дополнительных образовательных программ спортивной подготовки по олимпийским видам спорта 
Плавание (учебно-тренировочный этап (этап спортивной специализации))</t>
  </si>
  <si>
    <t>Реализация дополнительных образовательных программ спортивной подготовки по олимпийским видам спорта 
Плавание (этап начальной подготовки)</t>
  </si>
  <si>
    <t>Муниципальное бюджетное учреждение дополнительного образования "Спортивная школа плавания и водного поло"</t>
  </si>
  <si>
    <t>человеко-час</t>
  </si>
  <si>
    <t xml:space="preserve">Реализация дополнительных общеразвивающих программ </t>
  </si>
  <si>
    <t>Реализация дополнительных образовательных программ спортивной подготовки по олимпийским видам спорта 
Фигурное катание на коньках (учебно-тренировочный этап (этап спортивной специализации))</t>
  </si>
  <si>
    <t>Реализация дополнительных образовательных программ спортивной подготовки по олимпийским видам спорта 
Фигурное катание на коньках (этап начальной подготовки)</t>
  </si>
  <si>
    <t>Реализация дополнительных образовательных программ спортивной подготовки по олимпийским видам спорта 
Хоккей (учебно-тренировочный этап (этап спортивной специализации))</t>
  </si>
  <si>
    <t>Реализация дополнительных образовательных программ спортивной подготовки по олимпийским видам спорта 
Хоккей (этап начальной подготовки)</t>
  </si>
  <si>
    <t>Муниципальное бюджетное учреждение  дополнительного образования «Спортивная школа по зимним видам спорта»</t>
  </si>
  <si>
    <t>Реализация дополнительных образовательных программ спортивной подготовки по олимпийским видам спорта 
Футбол (учебно-тренировочный этап (этап спортивной специализации))</t>
  </si>
  <si>
    <t>Реализация дополнительных образовательных программ спортивной подготовки по олимпийским видам спорта 
Футбол (этап начальной подготовки)</t>
  </si>
  <si>
    <t>Реализация дополнительных образовательных программ спортивной подготовки по олимпийским видам спорта 
Лыжные гонки (учебно-тренировочный этап (этап спортивной специализации))</t>
  </si>
  <si>
    <t xml:space="preserve">1.1. </t>
  </si>
  <si>
    <t>Реализация дополнительных образовательных программ спортивной подготовки по олимпийским видам спорта 
Лыжные гонки (этап начальной подготовки)</t>
  </si>
  <si>
    <t>Муниципальное бюджетное учреждение дополнительного образования «Спортивная школа № 6»</t>
  </si>
  <si>
    <t>10.1</t>
  </si>
  <si>
    <t>9.1</t>
  </si>
  <si>
    <t>8.2.</t>
  </si>
  <si>
    <t>Реализация дополнительных образовательных программ спортивной подготовки по неолимпийским видам спорта 
Пауэрлифтинг (учебно-тренировочный этап (этап спортивной специализации))</t>
  </si>
  <si>
    <t>9.2.</t>
  </si>
  <si>
    <t>Реализация дополнительных образовательных программ спортивной подготовки по неолимпийским видам спорта 
Пауэрлифтинг (этап начальной подготовки)</t>
  </si>
  <si>
    <t>7.2.</t>
  </si>
  <si>
    <t>Реализация дополнительных образовательных программ спортивной подготовки по олимпийским видам спорта 
Дзюдо (учебно-тренировочный этап (этап спортивной специализации))</t>
  </si>
  <si>
    <t>Реализация дополнительных образовательных программ спортивной подготовки по олимпийским видам спорта 
Дзюдо (этап начальной подготовки)</t>
  </si>
  <si>
    <t>Реализация дополнительных образовательных программ спортивной подготовки по олимпийским видам спорта 
Бокс (учебно-тренировочный этап (этап спортивной специализации))</t>
  </si>
  <si>
    <t>Реализация дополнительных образовательных программ спортивной подготовки по олимпийским видам спорта 
Бокс (этап начальной подготовки)</t>
  </si>
  <si>
    <t>Муниципальное бюджетное учреждение дополнительного образования «Спортивная школа № 5»</t>
  </si>
  <si>
    <t>14.1.</t>
  </si>
  <si>
    <t>XIV</t>
  </si>
  <si>
    <t>12.1.</t>
  </si>
  <si>
    <t>XII</t>
  </si>
  <si>
    <t>13.1.</t>
  </si>
  <si>
    <t>10.2.</t>
  </si>
  <si>
    <t>Реализация дополнительных образовательных программ спортивной подготовки по олимпийским видам спорта 
Спортивная борьба (учебно-тренировочный этап (этап спортивной специализации))</t>
  </si>
  <si>
    <t>Реализация дополнительных образовательных программ спортивной подготовки по олимпийским видам спорта 
Спортивная борьба (этап начальной подготовки)</t>
  </si>
  <si>
    <t>Реализация дополнительных образовательных программ спортивной подготовки по олимпийским видам спорта 
Бокс (этап совершенствования спортивного мастерства)</t>
  </si>
  <si>
    <t>Спортивная подготовка по олимпийским видам спорта 
спортивная борьба  (этап начальной подготовки)</t>
  </si>
  <si>
    <t xml:space="preserve">2.1. </t>
  </si>
  <si>
    <t>Реализация дополнительных образовательных программ спортивной подготовки по олимпийским видам спорта 
Прыжки на батуте (учебно-тренировочный этап (этап спортивной специализации))</t>
  </si>
  <si>
    <t xml:space="preserve">Реализация дополнительных образовательных программ спортивной подготовки по олимпийским видам спорта 
Прыжки на батуте (этап начальной подготовки)
</t>
  </si>
  <si>
    <t>Муниципальное бюджетное учреждение дополнительного образования «Спортивная школа № 4»</t>
  </si>
  <si>
    <t>18.1.</t>
  </si>
  <si>
    <t>XVIII</t>
  </si>
  <si>
    <t>17.1.</t>
  </si>
  <si>
    <t>XVII</t>
  </si>
  <si>
    <t>16.2.</t>
  </si>
  <si>
    <t>16.1.</t>
  </si>
  <si>
    <t>Реализация дополнительных образовательных программ спортивной подготовки по неолимпийским видам спорта 
Самбо (учебно-тренировочный этап (этап спортивной специализации))</t>
  </si>
  <si>
    <t>XVI</t>
  </si>
  <si>
    <t>15.2.</t>
  </si>
  <si>
    <t>15.1.</t>
  </si>
  <si>
    <t>Реализация дополнительных образовательных программ спортивной подготовки по неолимпийским видам спорта 
Самбо (этап начальной подготовки)</t>
  </si>
  <si>
    <t>XV</t>
  </si>
  <si>
    <t>14.2.</t>
  </si>
  <si>
    <t>Реализация дополнительных образовательных программ спортивной подготовки по неолимпийским видам спорта 
Каратэ (учебно-тренировочный этап (этап спортивной специализации))</t>
  </si>
  <si>
    <t>13.2.</t>
  </si>
  <si>
    <t>Реализация дополнительных образовательных программ спортивной подготовки по неолимпийским видам спорта 
Каратэ (этап начальной подготовки)</t>
  </si>
  <si>
    <t>XIII</t>
  </si>
  <si>
    <t>12.2.</t>
  </si>
  <si>
    <t>112.</t>
  </si>
  <si>
    <t>Реализация дополнительных образовательных программ спортивной подготовки по олимпийским видам спорта 
Фехтование (учебно-тренировочный этап (этап спортивной специализации))</t>
  </si>
  <si>
    <t>Реализация дополнительных образовательных программ спортивной подготовки по олимпийским видам спорта 
Фехтование (этап начальной подготовки)</t>
  </si>
  <si>
    <t>Реализация дополнительных образовательных программ спортивной подготовки по олимпийским видам спорта 
Легкая атлетика (учебно-тренировочный этап (этап спортивной специализации))</t>
  </si>
  <si>
    <t>Реализация дополнительных образовательных программ спортивной подготовки по олимпийским видам спорта 
Легкая атлетика (этап начальной подготовки)</t>
  </si>
  <si>
    <t>3.</t>
  </si>
  <si>
    <t>11.2.</t>
  </si>
  <si>
    <t>Реализация дополнительных образовательных программ спортивной подготовки по неолимпийским видам спорта 
Спортивная акробатика (этап совершенствования спортивного мастерства)</t>
  </si>
  <si>
    <t>Реализация дополнительных образовательных программ спортивной подготовки по неолимпийским видам спорта 
Спортивная акробатика (учебно-тренировочный этап (этап спортивной специализации))</t>
  </si>
  <si>
    <t>Реализация дополнительных образовательных программ спортивной подготовки по неолимпийским видам спорта 
Спортивная акробатика (этап начальной подготовки)</t>
  </si>
  <si>
    <t>8.1</t>
  </si>
  <si>
    <t>Реализация дополнительных образовательных программ спортивной подготовки по олимпийским видам спорта 
Художественная гимнастика (учебно-тренировочный этап (этап спортивной специализации))</t>
  </si>
  <si>
    <t>7.1</t>
  </si>
  <si>
    <t xml:space="preserve">Реализация дополнительных образовательных программ спортивной подготовки по олимпийским видам спорта 
Художественная гимнастика (этап начальной подготовки)
</t>
  </si>
  <si>
    <t>Реализация дополнительных образовательных программ спортивной подготовки по олимпийским видам спорта 
Спортивная гимнастика  (этап совершенствования спортивного мастерства)</t>
  </si>
  <si>
    <t>Реализация дополнительных образовательных программ спортивной подготовки по олимпийским видам спорта 
Спортивная гимнастика (учебно-тренировочный этап (этап спортивной специализации))</t>
  </si>
  <si>
    <t>Реализация дополнительных образовательных программ спортивной подготовки по олимпийским видам спорта 
Спортивная гимнастика (этап начальной подготовки)</t>
  </si>
  <si>
    <t>Реализация дополнительных образовательных программ спортивной подготовки по олимпийским видам спорта 
Прыжки на батуте (этап совершенствования спортивного мастерства)</t>
  </si>
  <si>
    <t>Реализация дополнительных образовательных программ спортивной подготовки по олимпийским видам спорта 
Прыжки на батуте (учебно-тренировочный этап (этап спортивной специализации))
прыжки на батуте (тренировочный этап (этап спортивной специализации))</t>
  </si>
  <si>
    <t>Реализация дополнительных образовательных программ спортивной подготовки по олимпийским видам спорта 
Прыжки на батуте (этап начальной подготовки)</t>
  </si>
  <si>
    <t>Муниципальное бюджетное учреждение дополнительного образования «Спортивная школа № 2»</t>
  </si>
  <si>
    <t>2.</t>
  </si>
  <si>
    <t>Реализация дополнительных образовательных программ спортивной подготовки по олимпийским видам спорта 
Баскетбол (учебно-тренировочный этап (этап спортивной специализации))</t>
  </si>
  <si>
    <t>Реализация дополнительных образовательных программ спортивной подготовки по олимпийским видам спорта 
Баскетбол (этап начальной подготовки)</t>
  </si>
  <si>
    <t>Реализация дополнительных образовательных программ спортивной подготовки по олимпийским видам спорта 
Волейбол (учебно-тренировочный этап (этап спортивной специализации))</t>
  </si>
  <si>
    <t>Реализация дополнительных образовательных программ спортивной подготовки по олимпийским видам спорта 
Волейбол (этап начальной подготовки)</t>
  </si>
  <si>
    <t>Наименование учреждения</t>
  </si>
  <si>
    <t>муниципальными бюджетными учреждениями, подведомственными МУ "Управление по спорту Администрации города Норильска"</t>
  </si>
  <si>
    <t>Количество обущающихся</t>
  </si>
  <si>
    <t>7.3.</t>
  </si>
  <si>
    <t>не более 0,5</t>
  </si>
  <si>
    <t>Количество жалоб получателей на качество оказания муниципальной услуги</t>
  </si>
  <si>
    <t>число человеков-часов пребывания</t>
  </si>
  <si>
    <t>не более 85</t>
  </si>
  <si>
    <t>Доля обучающихся по дополнительным общеобразовательным общеразвивающим программам от общего количества обучающихся в учреждении</t>
  </si>
  <si>
    <t>Реализация дополнительных общеобразовательных общеразвивающих программ</t>
  </si>
  <si>
    <t>человеко-час.</t>
  </si>
  <si>
    <t>число человеко-часов пребывания</t>
  </si>
  <si>
    <t>не менее 15</t>
  </si>
  <si>
    <t>Доля обучающихся по дополнительным общеобразовательным предпрофессиональным программам от общего количества обучающихся в учреждении</t>
  </si>
  <si>
    <t>Реализация дополнительных общеобразовательных предпрофессиональных программ - музыкальный фольклор</t>
  </si>
  <si>
    <t>Реализация дополнительных общеобразовательных предпрофессиональных программ в области искусств - живопись</t>
  </si>
  <si>
    <t xml:space="preserve">не более 0,5 </t>
  </si>
  <si>
    <t>Реализация дополнительных общеобразовательных предпрофессиональных программ - хоровое пение</t>
  </si>
  <si>
    <t>Реализация дополнительных общеобразовательных предпрофессиональных программ в области искусств - народные инструменты</t>
  </si>
  <si>
    <t>Реализация дополнительных общеобразовательных предпрофессиональных программ в области искусств - фортепиано</t>
  </si>
  <si>
    <t>Реализация дополнительных общеобразовательных предпрофессиональных программ в области искусств - хореографическое творчество</t>
  </si>
  <si>
    <t>муниципальное бюджетное учреждение дополнительного образования "Оганерская детская школа искусств"</t>
  </si>
  <si>
    <t>10.3.</t>
  </si>
  <si>
    <t>Реализация дополнительных общеобразовательных предпрофессиональных программ в области искусств - искусство театра</t>
  </si>
  <si>
    <t>Реализация дополнительных общеобразовательных предпрофессиональных программ в области искусств - дизайн</t>
  </si>
  <si>
    <t>Реализация дополнительных общеобразовательных предпрофессиональных программ в области искусств - струнные инструменты</t>
  </si>
  <si>
    <t>Реализация дополнительных общеобразовательных предпрофессиональных программ в области искусств - духовые и ударные инструменты</t>
  </si>
  <si>
    <t xml:space="preserve">муниципальное бюджетное учреждение дополнительного образования  "Талнахская детская школа искусств" </t>
  </si>
  <si>
    <t>8.3.</t>
  </si>
  <si>
    <t>муниципальное бюджетное учреждение дополнительного образования "Кайерканская детская школа искусств"</t>
  </si>
  <si>
    <t>Реализация дополнительных общеобразовательных предпрофессиональных программ в области искусств - музыкальный фольклор</t>
  </si>
  <si>
    <t>Реализация дополнительных общеобразовательных предпрофессиональных программ в области искусств - инструменты эстрадного оркестра</t>
  </si>
  <si>
    <t>муниципальное бюджетное учреждение дополнительного образования "Норильская детская музыкальная школа"</t>
  </si>
  <si>
    <t>Количество обучающихся</t>
  </si>
  <si>
    <t>4.3</t>
  </si>
  <si>
    <t>4.2</t>
  </si>
  <si>
    <t>4.1</t>
  </si>
  <si>
    <t>3.2</t>
  </si>
  <si>
    <t>3.1</t>
  </si>
  <si>
    <t>Реализация дополнительных общеобразовательных предпрофессиональных программ в области искусств - декоративно-прикладное творчество</t>
  </si>
  <si>
    <t>муниципальное бюджетное учреждение дополнительного образования "Норильская детская художественная школа"</t>
  </si>
  <si>
    <t>7.3</t>
  </si>
  <si>
    <t>7.2</t>
  </si>
  <si>
    <t>6.2</t>
  </si>
  <si>
    <t>Реализация дополнительных общеобразовательных предпрофессиональных программ в области искусств - хоровое пение</t>
  </si>
  <si>
    <t>5.2</t>
  </si>
  <si>
    <t>5.1</t>
  </si>
  <si>
    <t>муниципальное бюджетное учреждение дополнительного образования "Норильская детская школа искусств"</t>
  </si>
  <si>
    <t>количество участников мероприятий</t>
  </si>
  <si>
    <t>Количество культурно-массовых мероприятий, проводимых культурно-досуговыми учреждениями (без киносеансов) на 1 тыс. населения</t>
  </si>
  <si>
    <t>организация и проведение культурно-массовых мероприятий (иные зрелищные мероприятия)</t>
  </si>
  <si>
    <t>Количество выставок, смотров, конкурсов, проводимых культурно-досуговыми учреждениями (без киносеансов) на 1 тыс. населения</t>
  </si>
  <si>
    <t>Организация и проведение культурно-массовых мероприятий творческих (фестиваль, выставка, конкурс, смотр )</t>
  </si>
  <si>
    <t xml:space="preserve">Число участников </t>
  </si>
  <si>
    <t>Доля клубных формирований, имеющих звания "Народный", "Образцовый" к общему количеству клубных формирований</t>
  </si>
  <si>
    <t>Количество  клубных формирований</t>
  </si>
  <si>
    <t>Динамика количества участников клубных формирований к предыдущему отчетному периоду</t>
  </si>
  <si>
    <t>Организация деятельности клубных формирований</t>
  </si>
  <si>
    <t>не более 0,05</t>
  </si>
  <si>
    <t xml:space="preserve">не более 0,05 </t>
  </si>
  <si>
    <t>Динамика количества мероприятий</t>
  </si>
  <si>
    <t xml:space="preserve"> Количество участников мероприятий</t>
  </si>
  <si>
    <t>Динамика количества участников</t>
  </si>
  <si>
    <t>Организация и проведение мероприятий - Культурно-массовых (услуга платная)</t>
  </si>
  <si>
    <t>Число зрителей</t>
  </si>
  <si>
    <t>Средняя заполняемость кинотеатра</t>
  </si>
  <si>
    <t>Показ кинофильмов (услуга бесплатная)</t>
  </si>
  <si>
    <t>Показ кинофильмов (услуга платная)</t>
  </si>
  <si>
    <t>муниципальное бюджетное учреждение культуры   "Культурно-досуговый центр "Юбилейный"</t>
  </si>
  <si>
    <t>Организация и проведение культурно-массовых мероприятий (иные зрелищные мероприятия)</t>
  </si>
  <si>
    <t>не более                0,05</t>
  </si>
  <si>
    <t>муниципальное бюджетное учреждение культуры "Культурно-досуговый центр им. Вл. Высоцкого"</t>
  </si>
  <si>
    <t>муниципальное бюджетное учреждение культуры "Городской центр культуры" с февраля 2018 года показатели вместе с ДК "Энергия"</t>
  </si>
  <si>
    <t>Количество фильмокопий</t>
  </si>
  <si>
    <t>Доля отреставрированных фильмовых материалов от общего количества фильмокопий</t>
  </si>
  <si>
    <t>Работа по формированию и учету фондов фильмофонда</t>
  </si>
  <si>
    <t>количество участников клубных формирований</t>
  </si>
  <si>
    <t>Динамика количества участников клубных формирований к предыдущему периоду</t>
  </si>
  <si>
    <t>муниципальное бюджетное учреждение "Кинокомплекс "Родина"</t>
  </si>
  <si>
    <t>Количество предметов</t>
  </si>
  <si>
    <t xml:space="preserve"> Доля оцифрованных музейных предметов из общего числа музейных предметов и коллекций</t>
  </si>
  <si>
    <t>Формирование, учет, изучение, обеспечение физического сохранения и безопасности музейных предметов, музейных коллекций</t>
  </si>
  <si>
    <t>Количество предметов (отреставрированных)</t>
  </si>
  <si>
    <t xml:space="preserve">Доля музейных предметов, прошедших консервацию (реставрацию), из числа выявленных музейных предметов для консервации (реставрации) </t>
  </si>
  <si>
    <t>Осуществление реставрации и консервации музейных предметов, музейных коллекций</t>
  </si>
  <si>
    <t>Количество экспозиций</t>
  </si>
  <si>
    <t>Динамика количества экспозиций по сравнению с предыдущим годом</t>
  </si>
  <si>
    <t>Создание экспозиций (выставок) музеев, организация выездных выставок</t>
  </si>
  <si>
    <t>Число посетителей</t>
  </si>
  <si>
    <t>Количество музейных предметов основного Музейного фонда учреждения, опубликованных на экспозициях и выставках за отчетный период</t>
  </si>
  <si>
    <t>Публичный показ музейных предметов, музейных коллекций</t>
  </si>
  <si>
    <t>муниципальное бюджетное учреждение "Музейно-выставочный комплекс "Музей Норильска"</t>
  </si>
  <si>
    <t>Количество документов в фонде</t>
  </si>
  <si>
    <t>Доля обработанных документов</t>
  </si>
  <si>
    <t>Количество документов, находящихся в электронном каталоге</t>
  </si>
  <si>
    <t>Динамика обработки документов по сравнению с прошлым годом</t>
  </si>
  <si>
    <t>Библиографическая обработка документов и создание каталогов</t>
  </si>
  <si>
    <t>Динамика посещений пользователей библиотеки (реальных и удаленных) по сравнению с предыдущим годом</t>
  </si>
  <si>
    <t>Библиотечное, библиографическое и информационное обслуживание пользователей библиотеки</t>
  </si>
  <si>
    <t>муниципальное бюджетное учреждение "Централизованная библиотечная система"</t>
  </si>
  <si>
    <t>показатели, характеризующие объем муниципальной услуги (работы)</t>
  </si>
  <si>
    <t>показатели, характеризующие качество муниципальных услуг (работ)</t>
  </si>
  <si>
    <t>муниципальными бюджетными учреждениями, подведомственными МУ "Управление по делам культуры и искусства Администрации города Норильска"</t>
  </si>
  <si>
    <t>Количество человеко-час</t>
  </si>
  <si>
    <t xml:space="preserve">не менее 90% </t>
  </si>
  <si>
    <t xml:space="preserve">Доля обучающихся, освоивших программы профессиональной подготовки по профессиям рабочих, должностям служащих в обраовательном учреждении </t>
  </si>
  <si>
    <t>Реализация основных профессиональных образовательных программ профессионального обучения – программ профессиональной подготовки по профессиям рабочих, должностям служащих</t>
  </si>
  <si>
    <t>не менее 90%</t>
  </si>
  <si>
    <t>Доля детей, осваивающих дополнительные общеразвивающие программы в образовательном учреждении</t>
  </si>
  <si>
    <t>муниципальным автономным учреждением дополнительного образования "Норильский центр безопасности движения"</t>
  </si>
  <si>
    <t xml:space="preserve">Количество мероприятий, проводимых общественными объединениями </t>
  </si>
  <si>
    <t>6.3.</t>
  </si>
  <si>
    <t xml:space="preserve">Количество общественных объединений </t>
  </si>
  <si>
    <t>Количество общественных объединений</t>
  </si>
  <si>
    <t xml:space="preserve">Количество участников </t>
  </si>
  <si>
    <t>Организация досуга детей, подростков и молодежи (общественные объединения)</t>
  </si>
  <si>
    <t>Отсутствие обоснованных жалоб потребителей к качеству выполняемой работы</t>
  </si>
  <si>
    <t xml:space="preserve">Выполнение запланированных мероприятий </t>
  </si>
  <si>
    <t>Организация досуга детей, подростков и молодежи 
(иная досуговая деятельность)</t>
  </si>
  <si>
    <t xml:space="preserve">Отсутствие обоснованных жалоб потребителей к качеству выполняемой работы </t>
  </si>
  <si>
    <t xml:space="preserve">Количество человек, вовлеченныз в мероприятие 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</si>
  <si>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</t>
  </si>
  <si>
    <t xml:space="preserve">Доля фактического количества проведенных мероприятий </t>
  </si>
  <si>
    <t>Организация мероприятий в сфере молодежной политики, направленных на гражданское и патриотическое воспитание молодежи, воспитание толерантности в молодежной среде, формирование правовых, культурных и нравственных ценностей среди молодежи</t>
  </si>
  <si>
    <t>Количество человек, вовлеченных в мероприятия</t>
  </si>
  <si>
    <t>Организация мероприятий в сфере молодежной политики, направленных на формирование системы развития талантливой и инициативной молодежи, создание условий для самореализации подростков и молодежи, развитие творческого, профессионального, интеллектуального потенциалов подростков и молодежи</t>
  </si>
  <si>
    <t xml:space="preserve">Укомплектование организации специалистами, оказывающими социальные услуги </t>
  </si>
  <si>
    <t>Количество человек, вовлеченныз в мероприятия</t>
  </si>
  <si>
    <t>Организация мероприятий, направленных на профилактику асоциального поведения подростков и молодежи, поддержка детей и молодежи, находящейся в социально-опасном положении</t>
  </si>
  <si>
    <r>
      <t>ОЦ</t>
    </r>
    <r>
      <rPr>
        <vertAlign val="subscript"/>
        <sz val="13"/>
        <color indexed="8"/>
        <rFont val="Times New Roman"/>
        <family val="1"/>
        <charset val="204"/>
      </rPr>
      <t>итоговая</t>
    </r>
  </si>
  <si>
    <r>
      <t>К</t>
    </r>
    <r>
      <rPr>
        <vertAlign val="subscript"/>
        <sz val="13"/>
        <color indexed="8"/>
        <rFont val="Times New Roman"/>
        <family val="1"/>
        <charset val="204"/>
      </rPr>
      <t>2</t>
    </r>
  </si>
  <si>
    <r>
      <t>К</t>
    </r>
    <r>
      <rPr>
        <vertAlign val="subscript"/>
        <sz val="13"/>
        <color indexed="8"/>
        <rFont val="Times New Roman"/>
        <family val="1"/>
        <charset val="204"/>
      </rPr>
      <t>2i</t>
    </r>
  </si>
  <si>
    <r>
      <t>К</t>
    </r>
    <r>
      <rPr>
        <vertAlign val="subscript"/>
        <sz val="13"/>
        <color indexed="8"/>
        <rFont val="Times New Roman"/>
        <family val="1"/>
        <charset val="204"/>
      </rPr>
      <t>2ф</t>
    </r>
  </si>
  <si>
    <r>
      <t>К</t>
    </r>
    <r>
      <rPr>
        <vertAlign val="subscript"/>
        <sz val="13"/>
        <color indexed="8"/>
        <rFont val="Times New Roman"/>
        <family val="1"/>
        <charset val="204"/>
      </rPr>
      <t>2пл</t>
    </r>
  </si>
  <si>
    <r>
      <t>К</t>
    </r>
    <r>
      <rPr>
        <vertAlign val="subscript"/>
        <sz val="13"/>
        <color indexed="8"/>
        <rFont val="Times New Roman"/>
        <family val="1"/>
        <charset val="204"/>
      </rPr>
      <t>1</t>
    </r>
  </si>
  <si>
    <r>
      <t>К</t>
    </r>
    <r>
      <rPr>
        <vertAlign val="subscript"/>
        <sz val="13"/>
        <color indexed="8"/>
        <rFont val="Times New Roman"/>
        <family val="1"/>
        <charset val="204"/>
      </rPr>
      <t>1i</t>
    </r>
  </si>
  <si>
    <r>
      <t>К</t>
    </r>
    <r>
      <rPr>
        <vertAlign val="subscript"/>
        <sz val="13"/>
        <color indexed="8"/>
        <rFont val="Times New Roman"/>
        <family val="1"/>
        <charset val="204"/>
      </rPr>
      <t>1фi</t>
    </r>
  </si>
  <si>
    <r>
      <t>К</t>
    </r>
    <r>
      <rPr>
        <vertAlign val="subscript"/>
        <sz val="13"/>
        <color indexed="8"/>
        <rFont val="Times New Roman"/>
        <family val="1"/>
        <charset val="204"/>
      </rPr>
      <t>1плi</t>
    </r>
  </si>
  <si>
    <t>муниципальным бюджетным учреждением "Молодежный центр"</t>
  </si>
  <si>
    <t xml:space="preserve">о выполнении муниципального задания </t>
  </si>
  <si>
    <t>Муниципальное бюджетное учреждение дополнительного образования «Спортивная школа № 1»</t>
  </si>
  <si>
    <t>МБУ и МАУ, подведомственные Управлению по спорту Администрации города Норильска 
(14 учреждений, из них: 8 спортивных школ, 6 спортивных сооружений)</t>
  </si>
  <si>
    <t>МБУ и МАУ, подведомственные Управлению общего и дошкольного образования Администрации города Норильска 
(80 учреждение, из них: 37 детских садов, 29 среднеобразовательных школ, 6 гимназий, 1 лицей, 6 учреждений дополнительного образования, 1 методический центр)</t>
  </si>
  <si>
    <t xml:space="preserve">Муниципальное задание </t>
  </si>
  <si>
    <r>
      <t xml:space="preserve">Муниципальное бюджетное учреждение дополнительного образования «Спортивная школа № 3» *
</t>
    </r>
    <r>
      <rPr>
        <sz val="13"/>
        <color theme="1"/>
        <rFont val="Times New Roman"/>
        <family val="1"/>
        <charset val="204"/>
      </rPr>
      <t>На основании постановления Администрации города Норильска от 09.07.2025 № 299 «О реорганизации муниципального бюджетного учреждения дополнительного образования «Спортивная школа № 3», в отношении МБУ ДО «Спортивная школа единоборств» в Единый государственный реестр юридических лиц внесена запись о прекращении деятельности МБУ ДО «Спортивная школа единоборств» с 17.10.2025 путем реорганизации в форме присоединения к МБУ ДО «Спортивная школа № 3», в связи с чем отчет о выполнении муниципального задания за 2025 год  сформирован с учетом данных деятельности МБУ ДО «Спортивная школа единоборств»</t>
    </r>
  </si>
  <si>
    <t xml:space="preserve">Муниципальное задание выполнено в полном объеме                   </t>
  </si>
  <si>
    <t>муниципальное бюджетное дошкольное образовательное учреждение "Детский сад № 62 "Почемучка"
*реорганизовано  в форме присоединения к нему муниципального бюджетного дошкольного образовательного учреждения «Детский сад № 46  «Надежда», внесена запись о завершении реорганизации юридического лица в форме присоединения к нему другого юридического лица (других юридических лиц) 12 сентября 2025 года</t>
  </si>
  <si>
    <r>
      <t xml:space="preserve">Расчет оценки 
</t>
    </r>
    <r>
      <rPr>
        <b/>
        <i/>
        <sz val="14"/>
        <rFont val="Times New Roman"/>
        <family val="1"/>
        <charset val="204"/>
      </rPr>
      <t>К</t>
    </r>
    <r>
      <rPr>
        <b/>
        <i/>
        <vertAlign val="subscript"/>
        <sz val="14"/>
        <rFont val="Times New Roman"/>
        <family val="1"/>
        <charset val="204"/>
      </rPr>
      <t>1</t>
    </r>
    <r>
      <rPr>
        <b/>
        <i/>
        <sz val="14"/>
        <rFont val="Times New Roman"/>
        <family val="1"/>
        <charset val="204"/>
      </rPr>
      <t>, К</t>
    </r>
    <r>
      <rPr>
        <b/>
        <i/>
        <vertAlign val="subscript"/>
        <sz val="14"/>
        <rFont val="Times New Roman"/>
        <family val="1"/>
        <charset val="204"/>
      </rPr>
      <t>2</t>
    </r>
  </si>
  <si>
    <r>
      <t>Расчет оценки, К</t>
    </r>
    <r>
      <rPr>
        <b/>
        <vertAlign val="subscript"/>
        <sz val="14"/>
        <rFont val="Times New Roman"/>
        <family val="1"/>
        <charset val="204"/>
      </rPr>
      <t xml:space="preserve">1, </t>
    </r>
    <r>
      <rPr>
        <b/>
        <sz val="14"/>
        <rFont val="Times New Roman"/>
        <family val="1"/>
        <charset val="204"/>
      </rPr>
      <t>К</t>
    </r>
    <r>
      <rPr>
        <b/>
        <vertAlign val="subscript"/>
        <sz val="14"/>
        <rFont val="Times New Roman"/>
        <family val="1"/>
        <charset val="20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</si>
</sst>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_р_._-;\-* #,##0_р_._-;_-* &quot;-&quot;_р_._-;_-@_-"/>
    <numFmt numFmtId="165" formatCode="_-* #,##0.00_р_._-;\-* #,##0.00_р_._-;_-* &quot;-&quot;??_р_._-;_-@_-"/>
    <numFmt numFmtId="166" formatCode="_-* #,##0.0_р_._-;\-* #,##0.0_р_._-;_-* &quot;-&quot;?_р_._-;_-@_-"/>
    <numFmt numFmtId="167" formatCode="_-* #,##0_р_._-;\-* #,##0_р_._-;_-* &quot;-&quot;??_р_._-;_-@_-"/>
    <numFmt numFmtId="168" formatCode="_-* #,##0.0_р_._-;\-* #,##0.0_р_._-;_-* &quot;-&quot;??_р_._-;_-@_-"/>
    <numFmt numFmtId="169" formatCode="#,##0_ ;\-#,##0\ "/>
    <numFmt numFmtId="170" formatCode="_-* #,##0.0_р_._-;\-* #,##0.0_р_._-;_-* &quot;-&quot;_р_._-;_-@_-"/>
    <numFmt numFmtId="171" formatCode="_-* #,##0.00_р_._-;\-* #,##0.00_р_._-;_-* &quot;-&quot;?_р_._-;_-@_-"/>
    <numFmt numFmtId="172" formatCode="_-* #,##0.0\ _₽_-;\-* #,##0.0\ _₽_-;_-* &quot;-&quot;?\ _₽_-;_-@_-"/>
    <numFmt numFmtId="173" formatCode="0.0"/>
    <numFmt numFmtId="174" formatCode="_-* #,##0_р_._-;\-* #,##0_р_._-;_-* &quot;-&quot;?_р_._-;_-@_-"/>
    <numFmt numFmtId="175" formatCode="#,##0.0_ ;\-#,##0.0\ "/>
    <numFmt numFmtId="176" formatCode="#,##0.0"/>
    <numFmt numFmtId="177" formatCode="#,##0.000_ ;\-#,##0.000\ "/>
    <numFmt numFmtId="178" formatCode="0.000"/>
    <numFmt numFmtId="179" formatCode="#,##0.00_ ;\-#,##0.00\ "/>
  </numFmts>
  <fonts count="54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8"/>
      <color rgb="FF9C0006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vertAlign val="subscript"/>
      <sz val="13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u/>
      <sz val="13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rgb="FF9C0006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vertAlign val="subscript"/>
      <sz val="13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u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vertAlign val="subscript"/>
      <sz val="14"/>
      <name val="Times New Roman"/>
      <family val="1"/>
      <charset val="204"/>
    </font>
    <font>
      <b/>
      <vertAlign val="subscript"/>
      <sz val="14"/>
      <name val="Times New Roman"/>
      <family val="1"/>
      <charset val="204"/>
    </font>
    <font>
      <sz val="13"/>
      <name val="Calibri"/>
      <family val="2"/>
      <charset val="204"/>
      <scheme val="minor"/>
    </font>
    <font>
      <sz val="13"/>
      <color rgb="FFFF0000"/>
      <name val="Times New Roman"/>
      <family val="1"/>
      <charset val="204"/>
    </font>
    <font>
      <b/>
      <sz val="1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5" fontId="39" fillId="0" borderId="0" applyFont="0" applyFill="0" applyBorder="0" applyAlignment="0" applyProtection="0"/>
    <xf numFmtId="0" fontId="41" fillId="0" borderId="0"/>
  </cellStyleXfs>
  <cellXfs count="641">
    <xf numFmtId="0" fontId="0" fillId="0" borderId="0" xfId="0"/>
    <xf numFmtId="0" fontId="3" fillId="2" borderId="0" xfId="0" applyFont="1" applyFill="1"/>
    <xf numFmtId="166" fontId="3" fillId="2" borderId="0" xfId="0" applyNumberFormat="1" applyFont="1" applyFill="1"/>
    <xf numFmtId="0" fontId="3" fillId="2" borderId="0" xfId="0" applyFont="1" applyFill="1" applyBorder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 vertical="center" wrapText="1"/>
    </xf>
    <xf numFmtId="164" fontId="12" fillId="0" borderId="5" xfId="0" applyNumberFormat="1" applyFont="1" applyBorder="1" applyAlignment="1">
      <alignment horizontal="center"/>
    </xf>
    <xf numFmtId="164" fontId="0" fillId="0" borderId="5" xfId="0" applyNumberFormat="1" applyFill="1" applyBorder="1" applyAlignment="1">
      <alignment horizontal="right" vertical="center"/>
    </xf>
    <xf numFmtId="164" fontId="12" fillId="0" borderId="5" xfId="0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4" fillId="0" borderId="0" xfId="0" applyFont="1"/>
    <xf numFmtId="0" fontId="14" fillId="2" borderId="0" xfId="0" applyFont="1" applyFill="1"/>
    <xf numFmtId="166" fontId="15" fillId="3" borderId="5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0" borderId="5" xfId="0" applyFont="1" applyBorder="1"/>
    <xf numFmtId="166" fontId="16" fillId="2" borderId="5" xfId="0" applyNumberFormat="1" applyFont="1" applyFill="1" applyBorder="1" applyAlignment="1">
      <alignment horizontal="center" vertical="center" wrapText="1"/>
    </xf>
    <xf numFmtId="164" fontId="16" fillId="2" borderId="5" xfId="0" applyNumberFormat="1" applyFont="1" applyFill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170" fontId="16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166" fontId="19" fillId="0" borderId="5" xfId="0" applyNumberFormat="1" applyFont="1" applyFill="1" applyBorder="1" applyAlignment="1">
      <alignment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166" fontId="15" fillId="2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171" fontId="15" fillId="3" borderId="5" xfId="0" applyNumberFormat="1" applyFont="1" applyFill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16" fontId="16" fillId="0" borderId="5" xfId="0" applyNumberFormat="1" applyFont="1" applyBorder="1" applyAlignment="1">
      <alignment horizontal="center" vertical="center" wrapText="1"/>
    </xf>
    <xf numFmtId="164" fontId="16" fillId="4" borderId="5" xfId="0" applyNumberFormat="1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2" borderId="0" xfId="0" applyFont="1" applyFill="1" applyAlignment="1">
      <alignment vertical="center" wrapText="1"/>
    </xf>
    <xf numFmtId="0" fontId="14" fillId="2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0" fillId="2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6" fontId="16" fillId="2" borderId="5" xfId="0" applyNumberFormat="1" applyFont="1" applyFill="1" applyBorder="1" applyAlignment="1">
      <alignment vertical="center" wrapText="1"/>
    </xf>
    <xf numFmtId="164" fontId="16" fillId="2" borderId="5" xfId="0" applyNumberFormat="1" applyFont="1" applyFill="1" applyBorder="1" applyAlignment="1">
      <alignment horizontal="center" vertical="center" wrapText="1"/>
    </xf>
    <xf numFmtId="0" fontId="25" fillId="0" borderId="5" xfId="0" quotePrefix="1" applyFont="1" applyFill="1" applyBorder="1" applyAlignment="1">
      <alignment horizontal="center" vertical="center" wrapText="1"/>
    </xf>
    <xf numFmtId="1" fontId="15" fillId="0" borderId="5" xfId="0" applyNumberFormat="1" applyFont="1" applyFill="1" applyBorder="1" applyAlignment="1">
      <alignment horizontal="center" vertical="center" wrapText="1"/>
    </xf>
    <xf numFmtId="166" fontId="15" fillId="2" borderId="5" xfId="0" applyNumberFormat="1" applyFont="1" applyFill="1" applyBorder="1" applyAlignment="1">
      <alignment vertical="center" wrapText="1"/>
    </xf>
    <xf numFmtId="166" fontId="15" fillId="0" borderId="5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1" fontId="15" fillId="2" borderId="5" xfId="0" applyNumberFormat="1" applyFont="1" applyFill="1" applyBorder="1" applyAlignment="1">
      <alignment horizontal="center" vertical="center" wrapText="1"/>
    </xf>
    <xf numFmtId="165" fontId="15" fillId="2" borderId="5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6" fillId="2" borderId="5" xfId="0" applyFont="1" applyFill="1" applyBorder="1" applyAlignment="1">
      <alignment vertical="center" wrapText="1"/>
    </xf>
    <xf numFmtId="0" fontId="25" fillId="2" borderId="5" xfId="0" quotePrefix="1" applyFont="1" applyFill="1" applyBorder="1" applyAlignment="1">
      <alignment horizontal="center" vertical="center" wrapText="1"/>
    </xf>
    <xf numFmtId="1" fontId="16" fillId="2" borderId="5" xfId="0" applyNumberFormat="1" applyFont="1" applyFill="1" applyBorder="1" applyAlignment="1">
      <alignment horizontal="center" vertical="center" wrapText="1"/>
    </xf>
    <xf numFmtId="0" fontId="13" fillId="2" borderId="5" xfId="0" quotePrefix="1" applyFont="1" applyFill="1" applyBorder="1" applyAlignment="1">
      <alignment horizontal="center" vertical="center" wrapText="1"/>
    </xf>
    <xf numFmtId="172" fontId="15" fillId="2" borderId="5" xfId="0" applyNumberFormat="1" applyFont="1" applyFill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vertical="center" wrapText="1"/>
    </xf>
    <xf numFmtId="164" fontId="15" fillId="2" borderId="5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/>
    <xf numFmtId="1" fontId="15" fillId="3" borderId="5" xfId="0" applyNumberFormat="1" applyFont="1" applyFill="1" applyBorder="1" applyAlignment="1">
      <alignment horizontal="center" vertical="center" wrapText="1"/>
    </xf>
    <xf numFmtId="165" fontId="15" fillId="3" borderId="5" xfId="0" applyNumberFormat="1" applyFont="1" applyFill="1" applyBorder="1" applyAlignment="1">
      <alignment horizontal="center" vertical="center" wrapText="1"/>
    </xf>
    <xf numFmtId="166" fontId="15" fillId="3" borderId="5" xfId="0" applyNumberFormat="1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horizontal="left" vertical="center"/>
    </xf>
    <xf numFmtId="0" fontId="0" fillId="0" borderId="0" xfId="0" applyBorder="1"/>
    <xf numFmtId="0" fontId="25" fillId="0" borderId="0" xfId="0" applyFont="1" applyBorder="1"/>
    <xf numFmtId="0" fontId="25" fillId="0" borderId="0" xfId="0" applyFont="1" applyBorder="1" applyAlignment="1">
      <alignment horizontal="left" vertical="center"/>
    </xf>
    <xf numFmtId="166" fontId="25" fillId="0" borderId="0" xfId="0" applyNumberFormat="1" applyFont="1" applyBorder="1"/>
    <xf numFmtId="0" fontId="8" fillId="2" borderId="5" xfId="0" applyFont="1" applyFill="1" applyBorder="1" applyAlignment="1">
      <alignment vertical="center" wrapText="1"/>
    </xf>
    <xf numFmtId="166" fontId="25" fillId="0" borderId="5" xfId="0" applyNumberFormat="1" applyFont="1" applyBorder="1" applyAlignment="1">
      <alignment wrapText="1"/>
    </xf>
    <xf numFmtId="165" fontId="16" fillId="2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165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166" fontId="19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173" fontId="16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26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top" wrapText="1"/>
    </xf>
    <xf numFmtId="0" fontId="30" fillId="0" borderId="0" xfId="0" applyFont="1" applyFill="1" applyAlignment="1">
      <alignment horizontal="center" vertical="center"/>
    </xf>
    <xf numFmtId="49" fontId="15" fillId="3" borderId="5" xfId="0" applyNumberFormat="1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165" fontId="16" fillId="2" borderId="5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5" fontId="16" fillId="3" borderId="5" xfId="0" applyNumberFormat="1" applyFont="1" applyFill="1" applyBorder="1" applyAlignment="1">
      <alignment horizontal="center" vertical="center"/>
    </xf>
    <xf numFmtId="49" fontId="16" fillId="3" borderId="5" xfId="0" applyNumberFormat="1" applyFont="1" applyFill="1" applyBorder="1" applyAlignment="1">
      <alignment horizontal="center" vertical="center" wrapText="1"/>
    </xf>
    <xf numFmtId="166" fontId="16" fillId="3" borderId="5" xfId="0" applyNumberFormat="1" applyFont="1" applyFill="1" applyBorder="1" applyAlignment="1">
      <alignment horizontal="center" vertical="center" wrapText="1"/>
    </xf>
    <xf numFmtId="1" fontId="16" fillId="3" borderId="5" xfId="0" applyNumberFormat="1" applyFont="1" applyFill="1" applyBorder="1" applyAlignment="1">
      <alignment horizontal="center" vertical="center" wrapText="1"/>
    </xf>
    <xf numFmtId="0" fontId="16" fillId="3" borderId="5" xfId="0" applyNumberFormat="1" applyFont="1" applyFill="1" applyBorder="1" applyAlignment="1">
      <alignment horizontal="center" vertical="center" wrapText="1"/>
    </xf>
    <xf numFmtId="0" fontId="16" fillId="2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173" fontId="16" fillId="2" borderId="5" xfId="0" applyNumberFormat="1" applyFont="1" applyFill="1" applyBorder="1" applyAlignment="1">
      <alignment horizontal="right" vertical="center" wrapText="1"/>
    </xf>
    <xf numFmtId="165" fontId="15" fillId="0" borderId="5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8" fontId="16" fillId="0" borderId="5" xfId="0" applyNumberFormat="1" applyFont="1" applyFill="1" applyBorder="1" applyAlignment="1">
      <alignment horizontal="center" vertical="center" wrapText="1"/>
    </xf>
    <xf numFmtId="1" fontId="16" fillId="0" borderId="5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5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165" fontId="16" fillId="3" borderId="5" xfId="0" applyNumberFormat="1" applyFont="1" applyFill="1" applyBorder="1" applyAlignment="1">
      <alignment horizontal="center" vertical="center" wrapText="1"/>
    </xf>
    <xf numFmtId="0" fontId="16" fillId="2" borderId="5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/>
    </xf>
    <xf numFmtId="166" fontId="16" fillId="2" borderId="5" xfId="0" applyNumberFormat="1" applyFont="1" applyFill="1" applyBorder="1" applyAlignment="1">
      <alignment horizontal="center" vertical="center"/>
    </xf>
    <xf numFmtId="0" fontId="15" fillId="2" borderId="5" xfId="0" applyNumberFormat="1" applyFont="1" applyFill="1" applyBorder="1" applyAlignment="1">
      <alignment horizontal="center" vertical="center" wrapText="1"/>
    </xf>
    <xf numFmtId="165" fontId="15" fillId="2" borderId="5" xfId="0" applyNumberFormat="1" applyFont="1" applyFill="1" applyBorder="1" applyAlignment="1">
      <alignment horizontal="center" vertical="center"/>
    </xf>
    <xf numFmtId="166" fontId="30" fillId="2" borderId="5" xfId="0" applyNumberFormat="1" applyFont="1" applyFill="1" applyBorder="1" applyAlignment="1">
      <alignment horizontal="center" vertical="center"/>
    </xf>
    <xf numFmtId="166" fontId="14" fillId="2" borderId="5" xfId="0" applyNumberFormat="1" applyFont="1" applyFill="1" applyBorder="1" applyAlignment="1">
      <alignment horizontal="center" vertical="center"/>
    </xf>
    <xf numFmtId="165" fontId="15" fillId="2" borderId="7" xfId="0" applyNumberFormat="1" applyFont="1" applyFill="1" applyBorder="1" applyAlignment="1">
      <alignment horizontal="center" vertical="center" wrapText="1"/>
    </xf>
    <xf numFmtId="166" fontId="15" fillId="2" borderId="7" xfId="0" applyNumberFormat="1" applyFont="1" applyFill="1" applyBorder="1" applyAlignment="1">
      <alignment horizontal="center" vertical="center" wrapText="1"/>
    </xf>
    <xf numFmtId="166" fontId="30" fillId="2" borderId="7" xfId="0" applyNumberFormat="1" applyFont="1" applyFill="1" applyBorder="1" applyAlignment="1">
      <alignment horizontal="center" vertical="center"/>
    </xf>
    <xf numFmtId="165" fontId="16" fillId="2" borderId="7" xfId="0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 wrapText="1"/>
    </xf>
    <xf numFmtId="49" fontId="15" fillId="2" borderId="7" xfId="0" applyNumberFormat="1" applyFont="1" applyFill="1" applyBorder="1" applyAlignment="1">
      <alignment horizontal="center" vertical="center" wrapText="1"/>
    </xf>
    <xf numFmtId="166" fontId="16" fillId="2" borderId="7" xfId="0" applyNumberFormat="1" applyFont="1" applyFill="1" applyBorder="1" applyAlignment="1">
      <alignment horizontal="center" vertical="center"/>
    </xf>
    <xf numFmtId="1" fontId="16" fillId="2" borderId="7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166" fontId="15" fillId="3" borderId="13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 wrapText="1"/>
    </xf>
    <xf numFmtId="169" fontId="16" fillId="0" borderId="5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left" vertical="center" wrapText="1"/>
    </xf>
    <xf numFmtId="49" fontId="30" fillId="0" borderId="5" xfId="0" applyNumberFormat="1" applyFont="1" applyFill="1" applyBorder="1" applyAlignment="1">
      <alignment horizontal="center" vertical="center" wrapText="1"/>
    </xf>
    <xf numFmtId="1" fontId="30" fillId="0" borderId="5" xfId="0" applyNumberFormat="1" applyFont="1" applyFill="1" applyBorder="1" applyAlignment="1">
      <alignment horizontal="center" vertical="center" wrapText="1"/>
    </xf>
    <xf numFmtId="0" fontId="30" fillId="0" borderId="5" xfId="0" applyNumberFormat="1" applyFont="1" applyFill="1" applyBorder="1" applyAlignment="1">
      <alignment horizontal="center" vertical="center" wrapText="1"/>
    </xf>
    <xf numFmtId="166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1" fontId="14" fillId="0" borderId="5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165" fontId="30" fillId="0" borderId="5" xfId="0" applyNumberFormat="1" applyFont="1" applyFill="1" applyBorder="1" applyAlignment="1">
      <alignment horizontal="center" vertical="center"/>
    </xf>
    <xf numFmtId="165" fontId="14" fillId="0" borderId="5" xfId="0" applyNumberFormat="1" applyFont="1" applyFill="1" applyBorder="1" applyAlignment="1">
      <alignment horizontal="center" vertical="center"/>
    </xf>
    <xf numFmtId="166" fontId="30" fillId="0" borderId="5" xfId="0" applyNumberFormat="1" applyFont="1" applyFill="1" applyBorder="1" applyAlignment="1">
      <alignment horizontal="center" vertical="center"/>
    </xf>
    <xf numFmtId="166" fontId="14" fillId="0" borderId="5" xfId="0" applyNumberFormat="1" applyFont="1" applyFill="1" applyBorder="1" applyAlignment="1">
      <alignment horizontal="center" vertical="center"/>
    </xf>
    <xf numFmtId="165" fontId="30" fillId="0" borderId="5" xfId="0" applyNumberFormat="1" applyFont="1" applyFill="1" applyBorder="1" applyAlignment="1">
      <alignment horizontal="center" vertical="center" wrapText="1"/>
    </xf>
    <xf numFmtId="1" fontId="14" fillId="0" borderId="5" xfId="0" applyNumberFormat="1" applyFont="1" applyFill="1" applyBorder="1" applyAlignment="1">
      <alignment horizontal="center" vertical="center"/>
    </xf>
    <xf numFmtId="165" fontId="14" fillId="0" borderId="5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173" fontId="14" fillId="0" borderId="5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3" fontId="14" fillId="0" borderId="5" xfId="0" applyNumberFormat="1" applyFont="1" applyFill="1" applyBorder="1" applyAlignment="1">
      <alignment horizontal="center" vertical="center" wrapText="1"/>
    </xf>
    <xf numFmtId="16" fontId="14" fillId="0" borderId="5" xfId="0" applyNumberFormat="1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 wrapText="1"/>
    </xf>
    <xf numFmtId="166" fontId="31" fillId="0" borderId="5" xfId="0" applyNumberFormat="1" applyFont="1" applyFill="1" applyBorder="1" applyAlignment="1">
      <alignment vertical="center" wrapText="1"/>
    </xf>
    <xf numFmtId="166" fontId="32" fillId="0" borderId="5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166" fontId="30" fillId="0" borderId="5" xfId="0" applyNumberFormat="1" applyFont="1" applyFill="1" applyBorder="1" applyAlignment="1">
      <alignment vertical="center" wrapText="1"/>
    </xf>
    <xf numFmtId="166" fontId="14" fillId="0" borderId="5" xfId="0" applyNumberFormat="1" applyFont="1" applyFill="1" applyBorder="1" applyAlignment="1">
      <alignment vertical="center" wrapText="1"/>
    </xf>
    <xf numFmtId="0" fontId="15" fillId="0" borderId="0" xfId="0" applyFont="1" applyFill="1" applyAlignment="1">
      <alignment horizontal="left" vertical="center" wrapText="1"/>
    </xf>
    <xf numFmtId="0" fontId="33" fillId="0" borderId="0" xfId="0" applyFont="1" applyFill="1" applyAlignment="1">
      <alignment horizontal="center" vertical="center" wrapText="1"/>
    </xf>
    <xf numFmtId="0" fontId="16" fillId="0" borderId="5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166" fontId="2" fillId="2" borderId="0" xfId="0" applyNumberFormat="1" applyFont="1" applyFill="1"/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166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/>
    <xf numFmtId="166" fontId="10" fillId="2" borderId="0" xfId="0" applyNumberFormat="1" applyFont="1" applyFill="1"/>
    <xf numFmtId="166" fontId="11" fillId="2" borderId="0" xfId="0" applyNumberFormat="1" applyFont="1" applyFill="1"/>
    <xf numFmtId="0" fontId="11" fillId="2" borderId="0" xfId="0" applyFont="1" applyFill="1"/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justify" vertical="center" wrapText="1"/>
    </xf>
    <xf numFmtId="166" fontId="3" fillId="2" borderId="0" xfId="0" applyNumberFormat="1" applyFont="1" applyFill="1" applyBorder="1"/>
    <xf numFmtId="166" fontId="2" fillId="2" borderId="0" xfId="0" applyNumberFormat="1" applyFont="1" applyFill="1" applyBorder="1" applyAlignment="1">
      <alignment vertical="center"/>
    </xf>
    <xf numFmtId="0" fontId="1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166" fontId="9" fillId="0" borderId="0" xfId="0" applyNumberFormat="1" applyFont="1"/>
    <xf numFmtId="166" fontId="9" fillId="0" borderId="0" xfId="0" applyNumberFormat="1" applyFont="1" applyFill="1" applyBorder="1"/>
    <xf numFmtId="0" fontId="32" fillId="0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left" vertical="center"/>
    </xf>
    <xf numFmtId="0" fontId="12" fillId="0" borderId="0" xfId="0" applyFont="1" applyFill="1"/>
    <xf numFmtId="166" fontId="15" fillId="0" borderId="5" xfId="0" applyNumberFormat="1" applyFont="1" applyFill="1" applyBorder="1" applyAlignment="1">
      <alignment horizontal="right" vertical="center" wrapText="1"/>
    </xf>
    <xf numFmtId="166" fontId="16" fillId="0" borderId="5" xfId="0" applyNumberFormat="1" applyFont="1" applyFill="1" applyBorder="1" applyAlignment="1">
      <alignment horizontal="center"/>
    </xf>
    <xf numFmtId="166" fontId="16" fillId="0" borderId="5" xfId="0" applyNumberFormat="1" applyFont="1" applyFill="1" applyBorder="1" applyAlignment="1">
      <alignment vertical="center" wrapText="1"/>
    </xf>
    <xf numFmtId="164" fontId="16" fillId="0" borderId="5" xfId="0" applyNumberFormat="1" applyFont="1" applyFill="1" applyBorder="1" applyAlignment="1">
      <alignment horizontal="right" vertical="center" wrapText="1"/>
    </xf>
    <xf numFmtId="174" fontId="16" fillId="0" borderId="5" xfId="0" applyNumberFormat="1" applyFont="1" applyFill="1" applyBorder="1" applyAlignment="1">
      <alignment horizontal="right" vertical="center" wrapText="1"/>
    </xf>
    <xf numFmtId="3" fontId="16" fillId="0" borderId="5" xfId="0" applyNumberFormat="1" applyFont="1" applyFill="1" applyBorder="1" applyAlignment="1">
      <alignment horizontal="right" vertical="center" wrapText="1"/>
    </xf>
    <xf numFmtId="0" fontId="12" fillId="0" borderId="0" xfId="0" applyFont="1"/>
    <xf numFmtId="166" fontId="15" fillId="0" borderId="5" xfId="0" applyNumberFormat="1" applyFont="1" applyFill="1" applyBorder="1" applyAlignment="1">
      <alignment horizontal="center" vertical="center"/>
    </xf>
    <xf numFmtId="165" fontId="16" fillId="0" borderId="5" xfId="0" applyNumberFormat="1" applyFont="1" applyFill="1" applyBorder="1" applyAlignment="1">
      <alignment horizontal="center" vertical="center"/>
    </xf>
    <xf numFmtId="166" fontId="15" fillId="0" borderId="5" xfId="0" applyNumberFormat="1" applyFont="1" applyFill="1" applyBorder="1" applyAlignment="1">
      <alignment vertical="center" wrapText="1"/>
    </xf>
    <xf numFmtId="175" fontId="16" fillId="0" borderId="5" xfId="0" applyNumberFormat="1" applyFont="1" applyFill="1" applyBorder="1" applyAlignment="1">
      <alignment horizontal="right" vertical="center" wrapText="1"/>
    </xf>
    <xf numFmtId="176" fontId="16" fillId="0" borderId="5" xfId="0" applyNumberFormat="1" applyFont="1" applyFill="1" applyBorder="1" applyAlignment="1">
      <alignment horizontal="right" vertical="center" wrapText="1"/>
    </xf>
    <xf numFmtId="164" fontId="16" fillId="0" borderId="5" xfId="0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174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right" vertical="center" wrapText="1"/>
    </xf>
    <xf numFmtId="176" fontId="16" fillId="0" borderId="5" xfId="0" applyNumberFormat="1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horizontal="center" vertical="center" wrapText="1"/>
    </xf>
    <xf numFmtId="170" fontId="16" fillId="0" borderId="5" xfId="0" applyNumberFormat="1" applyFont="1" applyFill="1" applyBorder="1" applyAlignment="1">
      <alignment horizontal="right" vertical="center" wrapText="1"/>
    </xf>
    <xf numFmtId="166" fontId="16" fillId="0" borderId="5" xfId="0" applyNumberFormat="1" applyFont="1" applyFill="1" applyBorder="1"/>
    <xf numFmtId="0" fontId="0" fillId="3" borderId="5" xfId="0" applyFill="1" applyBorder="1"/>
    <xf numFmtId="3" fontId="16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right" vertical="center" wrapText="1"/>
    </xf>
    <xf numFmtId="173" fontId="14" fillId="0" borderId="5" xfId="0" applyNumberFormat="1" applyFont="1" applyFill="1" applyBorder="1" applyAlignment="1">
      <alignment horizontal="right" vertical="center"/>
    </xf>
    <xf numFmtId="166" fontId="30" fillId="0" borderId="7" xfId="0" applyNumberFormat="1" applyFont="1" applyFill="1" applyBorder="1" applyAlignment="1">
      <alignment horizontal="center" vertical="center" wrapText="1"/>
    </xf>
    <xf numFmtId="3" fontId="16" fillId="0" borderId="7" xfId="0" applyNumberFormat="1" applyFont="1" applyFill="1" applyBorder="1" applyAlignment="1">
      <alignment horizontal="right" vertical="center" wrapText="1"/>
    </xf>
    <xf numFmtId="166" fontId="15" fillId="0" borderId="7" xfId="0" applyNumberFormat="1" applyFont="1" applyFill="1" applyBorder="1" applyAlignment="1">
      <alignment horizontal="right" vertical="center" wrapText="1"/>
    </xf>
    <xf numFmtId="164" fontId="15" fillId="0" borderId="5" xfId="0" applyNumberFormat="1" applyFont="1" applyFill="1" applyBorder="1" applyAlignment="1">
      <alignment horizontal="right" vertical="center" wrapText="1"/>
    </xf>
    <xf numFmtId="166" fontId="15" fillId="0" borderId="7" xfId="0" applyNumberFormat="1" applyFont="1" applyFill="1" applyBorder="1" applyAlignment="1">
      <alignment vertical="center" wrapText="1"/>
    </xf>
    <xf numFmtId="166" fontId="15" fillId="0" borderId="6" xfId="0" applyNumberFormat="1" applyFont="1" applyFill="1" applyBorder="1" applyAlignment="1">
      <alignment vertical="center" wrapText="1"/>
    </xf>
    <xf numFmtId="166" fontId="15" fillId="0" borderId="8" xfId="0" applyNumberFormat="1" applyFont="1" applyFill="1" applyBorder="1" applyAlignment="1">
      <alignment horizontal="center" vertical="center" wrapText="1"/>
    </xf>
    <xf numFmtId="166" fontId="9" fillId="2" borderId="0" xfId="0" applyNumberFormat="1" applyFont="1" applyFill="1"/>
    <xf numFmtId="177" fontId="16" fillId="0" borderId="5" xfId="0" applyNumberFormat="1" applyFont="1" applyFill="1" applyBorder="1" applyAlignment="1">
      <alignment horizontal="right" vertical="center" wrapText="1"/>
    </xf>
    <xf numFmtId="0" fontId="0" fillId="0" borderId="0" xfId="0" applyFont="1"/>
    <xf numFmtId="175" fontId="16" fillId="0" borderId="5" xfId="0" applyNumberFormat="1" applyFont="1" applyFill="1" applyBorder="1" applyAlignment="1">
      <alignment horizontal="right" vertical="center"/>
    </xf>
    <xf numFmtId="16" fontId="16" fillId="0" borderId="5" xfId="0" applyNumberFormat="1" applyFont="1" applyFill="1" applyBorder="1" applyAlignment="1">
      <alignment horizontal="center" vertical="center" wrapText="1"/>
    </xf>
    <xf numFmtId="166" fontId="14" fillId="0" borderId="5" xfId="0" applyNumberFormat="1" applyFont="1" applyFill="1" applyBorder="1" applyAlignment="1">
      <alignment wrapText="1"/>
    </xf>
    <xf numFmtId="0" fontId="15" fillId="0" borderId="5" xfId="0" applyNumberFormat="1" applyFont="1" applyFill="1" applyBorder="1" applyAlignment="1">
      <alignment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173" fontId="14" fillId="0" borderId="5" xfId="0" applyNumberFormat="1" applyFont="1" applyFill="1" applyBorder="1" applyAlignment="1">
      <alignment horizontal="right" vertical="center" wrapText="1"/>
    </xf>
    <xf numFmtId="179" fontId="16" fillId="0" borderId="5" xfId="0" applyNumberFormat="1" applyFont="1" applyFill="1" applyBorder="1" applyAlignment="1">
      <alignment horizontal="right" vertical="center" wrapText="1"/>
    </xf>
    <xf numFmtId="0" fontId="38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21" fillId="0" borderId="1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top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right" vertical="center" wrapText="1"/>
    </xf>
    <xf numFmtId="0" fontId="15" fillId="2" borderId="0" xfId="0" applyFont="1" applyFill="1" applyAlignment="1">
      <alignment horizontal="left" vertical="center" wrapText="1"/>
    </xf>
    <xf numFmtId="0" fontId="33" fillId="2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0" fontId="26" fillId="2" borderId="0" xfId="0" applyFont="1" applyFill="1" applyBorder="1" applyAlignment="1">
      <alignment horizontal="right" vertical="top" wrapText="1"/>
    </xf>
    <xf numFmtId="0" fontId="26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 wrapText="1"/>
    </xf>
    <xf numFmtId="1" fontId="15" fillId="3" borderId="5" xfId="0" applyNumberFormat="1" applyFont="1" applyFill="1" applyBorder="1" applyAlignment="1">
      <alignment horizontal="right" vertical="center" wrapText="1"/>
    </xf>
    <xf numFmtId="165" fontId="15" fillId="3" borderId="5" xfId="0" applyNumberFormat="1" applyFont="1" applyFill="1" applyBorder="1" applyAlignment="1">
      <alignment horizontal="right" vertical="center" wrapText="1"/>
    </xf>
    <xf numFmtId="166" fontId="15" fillId="3" borderId="5" xfId="0" applyNumberFormat="1" applyFont="1" applyFill="1" applyBorder="1" applyAlignment="1">
      <alignment horizontal="right" vertical="center" wrapText="1"/>
    </xf>
    <xf numFmtId="164" fontId="16" fillId="3" borderId="5" xfId="0" applyNumberFormat="1" applyFont="1" applyFill="1" applyBorder="1" applyAlignment="1">
      <alignment horizontal="right" vertical="center" wrapText="1"/>
    </xf>
    <xf numFmtId="1" fontId="16" fillId="3" borderId="5" xfId="0" applyNumberFormat="1" applyFont="1" applyFill="1" applyBorder="1" applyAlignment="1">
      <alignment horizontal="right" vertical="center" wrapText="1"/>
    </xf>
    <xf numFmtId="166" fontId="16" fillId="3" borderId="5" xfId="0" applyNumberFormat="1" applyFont="1" applyFill="1" applyBorder="1" applyAlignment="1">
      <alignment horizontal="right" vertical="center" wrapText="1"/>
    </xf>
    <xf numFmtId="0" fontId="0" fillId="3" borderId="5" xfId="0" applyFill="1" applyBorder="1" applyAlignment="1">
      <alignment horizontal="right"/>
    </xf>
    <xf numFmtId="166" fontId="30" fillId="3" borderId="5" xfId="0" applyNumberFormat="1" applyFont="1" applyFill="1" applyBorder="1" applyAlignment="1">
      <alignment horizontal="right" vertical="center"/>
    </xf>
    <xf numFmtId="3" fontId="15" fillId="3" borderId="5" xfId="0" applyNumberFormat="1" applyFont="1" applyFill="1" applyBorder="1" applyAlignment="1">
      <alignment horizontal="right" vertical="center" wrapText="1"/>
    </xf>
    <xf numFmtId="3" fontId="16" fillId="3" borderId="5" xfId="0" applyNumberFormat="1" applyFont="1" applyFill="1" applyBorder="1" applyAlignment="1">
      <alignment horizontal="right" vertical="center"/>
    </xf>
    <xf numFmtId="176" fontId="16" fillId="3" borderId="5" xfId="0" applyNumberFormat="1" applyFont="1" applyFill="1" applyBorder="1" applyAlignment="1">
      <alignment horizontal="center" vertical="center"/>
    </xf>
    <xf numFmtId="165" fontId="16" fillId="3" borderId="6" xfId="0" applyNumberFormat="1" applyFont="1" applyFill="1" applyBorder="1" applyAlignment="1">
      <alignment horizontal="center" vertical="center" wrapText="1"/>
    </xf>
    <xf numFmtId="166" fontId="15" fillId="3" borderId="6" xfId="0" applyNumberFormat="1" applyFont="1" applyFill="1" applyBorder="1" applyAlignment="1">
      <alignment horizontal="right" vertical="center" wrapText="1"/>
    </xf>
    <xf numFmtId="166" fontId="15" fillId="3" borderId="6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12" fillId="2" borderId="0" xfId="0" applyFont="1" applyFill="1"/>
    <xf numFmtId="0" fontId="0" fillId="2" borderId="0" xfId="0" applyFont="1" applyFill="1"/>
    <xf numFmtId="166" fontId="34" fillId="2" borderId="0" xfId="0" applyNumberFormat="1" applyFont="1" applyFill="1"/>
    <xf numFmtId="3" fontId="16" fillId="0" borderId="5" xfId="0" applyNumberFormat="1" applyFont="1" applyFill="1" applyBorder="1" applyAlignment="1">
      <alignment vertical="center" wrapText="1"/>
    </xf>
    <xf numFmtId="173" fontId="16" fillId="0" borderId="5" xfId="0" applyNumberFormat="1" applyFont="1" applyFill="1" applyBorder="1" applyAlignment="1">
      <alignment vertical="center" wrapText="1"/>
    </xf>
    <xf numFmtId="166" fontId="16" fillId="2" borderId="5" xfId="0" applyNumberFormat="1" applyFont="1" applyFill="1" applyBorder="1" applyAlignment="1">
      <alignment horizontal="right" vertical="center" wrapText="1"/>
    </xf>
    <xf numFmtId="166" fontId="15" fillId="2" borderId="5" xfId="0" applyNumberFormat="1" applyFont="1" applyFill="1" applyBorder="1" applyAlignment="1">
      <alignment horizontal="right" vertical="center" wrapText="1"/>
    </xf>
    <xf numFmtId="164" fontId="16" fillId="2" borderId="5" xfId="0" applyNumberFormat="1" applyFont="1" applyFill="1" applyBorder="1" applyAlignment="1">
      <alignment horizontal="right" vertical="center" wrapText="1"/>
    </xf>
    <xf numFmtId="166" fontId="15" fillId="2" borderId="5" xfId="0" applyNumberFormat="1" applyFont="1" applyFill="1" applyBorder="1" applyAlignment="1">
      <alignment horizontal="center" vertical="center"/>
    </xf>
    <xf numFmtId="176" fontId="16" fillId="2" borderId="5" xfId="0" applyNumberFormat="1" applyFont="1" applyFill="1" applyBorder="1" applyAlignment="1">
      <alignment horizontal="right" vertical="center" wrapText="1"/>
    </xf>
    <xf numFmtId="166" fontId="16" fillId="2" borderId="5" xfId="0" applyNumberFormat="1" applyFont="1" applyFill="1" applyBorder="1" applyAlignment="1">
      <alignment horizontal="center"/>
    </xf>
    <xf numFmtId="175" fontId="16" fillId="2" borderId="5" xfId="0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vertical="center" wrapText="1"/>
    </xf>
    <xf numFmtId="0" fontId="21" fillId="2" borderId="5" xfId="0" applyFont="1" applyFill="1" applyBorder="1" applyAlignment="1">
      <alignment vertical="center" wrapText="1"/>
    </xf>
    <xf numFmtId="166" fontId="30" fillId="3" borderId="5" xfId="0" applyNumberFormat="1" applyFont="1" applyFill="1" applyBorder="1" applyAlignment="1">
      <alignment vertical="center"/>
    </xf>
    <xf numFmtId="0" fontId="26" fillId="2" borderId="5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168" fontId="16" fillId="2" borderId="5" xfId="0" applyNumberFormat="1" applyFont="1" applyFill="1" applyBorder="1" applyAlignment="1">
      <alignment horizontal="center" vertical="center"/>
    </xf>
    <xf numFmtId="0" fontId="0" fillId="3" borderId="0" xfId="0" applyFill="1"/>
    <xf numFmtId="166" fontId="15" fillId="3" borderId="7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0" fillId="0" borderId="1" xfId="0" applyBorder="1"/>
    <xf numFmtId="0" fontId="14" fillId="0" borderId="5" xfId="0" quotePrefix="1" applyFont="1" applyFill="1" applyBorder="1" applyAlignment="1">
      <alignment horizontal="left" vertical="center" wrapText="1"/>
    </xf>
    <xf numFmtId="0" fontId="14" fillId="0" borderId="5" xfId="0" quotePrefix="1" applyFont="1" applyFill="1" applyBorder="1" applyAlignment="1">
      <alignment horizontal="center" vertical="center" wrapText="1"/>
    </xf>
    <xf numFmtId="173" fontId="16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31" fillId="0" borderId="1" xfId="0" applyFont="1" applyBorder="1"/>
    <xf numFmtId="9" fontId="14" fillId="0" borderId="5" xfId="0" applyNumberFormat="1" applyFont="1" applyFill="1" applyBorder="1" applyAlignment="1">
      <alignment horizontal="center" vertical="center" wrapText="1"/>
    </xf>
    <xf numFmtId="179" fontId="14" fillId="0" borderId="5" xfId="1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1" fillId="0" borderId="0" xfId="2"/>
    <xf numFmtId="0" fontId="14" fillId="0" borderId="0" xfId="2" applyFont="1"/>
    <xf numFmtId="0" fontId="14" fillId="2" borderId="0" xfId="2" applyFont="1" applyFill="1"/>
    <xf numFmtId="0" fontId="14" fillId="0" borderId="0" xfId="2" applyFont="1" applyAlignment="1">
      <alignment horizontal="left" vertical="center"/>
    </xf>
    <xf numFmtId="0" fontId="16" fillId="0" borderId="0" xfId="2" applyFont="1" applyAlignment="1">
      <alignment horizontal="justify" vertical="center" wrapText="1"/>
    </xf>
    <xf numFmtId="0" fontId="16" fillId="0" borderId="0" xfId="2" applyFont="1" applyAlignment="1">
      <alignment vertical="center" wrapText="1"/>
    </xf>
    <xf numFmtId="0" fontId="16" fillId="2" borderId="0" xfId="2" applyFont="1" applyFill="1" applyAlignment="1">
      <alignment vertical="center" wrapText="1"/>
    </xf>
    <xf numFmtId="0" fontId="16" fillId="0" borderId="0" xfId="2" applyFont="1" applyAlignment="1">
      <alignment horizontal="left" vertical="center" wrapText="1"/>
    </xf>
    <xf numFmtId="166" fontId="15" fillId="3" borderId="5" xfId="2" applyNumberFormat="1" applyFont="1" applyFill="1" applyBorder="1" applyAlignment="1">
      <alignment horizontal="center" vertical="center" wrapText="1"/>
    </xf>
    <xf numFmtId="166" fontId="15" fillId="2" borderId="5" xfId="2" applyNumberFormat="1" applyFont="1" applyFill="1" applyBorder="1" applyAlignment="1">
      <alignment horizontal="center" vertical="center" wrapText="1"/>
    </xf>
    <xf numFmtId="0" fontId="16" fillId="3" borderId="5" xfId="2" applyFont="1" applyFill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31" fillId="0" borderId="0" xfId="2" applyFont="1"/>
    <xf numFmtId="0" fontId="42" fillId="0" borderId="0" xfId="2" applyFont="1"/>
    <xf numFmtId="166" fontId="43" fillId="0" borderId="0" xfId="2" applyNumberFormat="1" applyFont="1"/>
    <xf numFmtId="0" fontId="16" fillId="2" borderId="5" xfId="2" applyFont="1" applyFill="1" applyBorder="1" applyAlignment="1">
      <alignment vertical="center" wrapText="1"/>
    </xf>
    <xf numFmtId="0" fontId="15" fillId="2" borderId="5" xfId="2" applyFont="1" applyFill="1" applyBorder="1" applyAlignment="1">
      <alignment horizontal="center" vertical="center" wrapText="1"/>
    </xf>
    <xf numFmtId="166" fontId="30" fillId="0" borderId="5" xfId="2" applyNumberFormat="1" applyFont="1" applyBorder="1" applyAlignment="1">
      <alignment vertical="center" wrapText="1"/>
    </xf>
    <xf numFmtId="166" fontId="16" fillId="2" borderId="5" xfId="2" applyNumberFormat="1" applyFont="1" applyFill="1" applyBorder="1" applyAlignment="1">
      <alignment horizontal="center" vertical="center" wrapText="1"/>
    </xf>
    <xf numFmtId="0" fontId="16" fillId="0" borderId="5" xfId="2" applyFont="1" applyBorder="1" applyAlignment="1">
      <alignment horizontal="left" vertical="center" wrapText="1"/>
    </xf>
    <xf numFmtId="16" fontId="16" fillId="0" borderId="5" xfId="2" applyNumberFormat="1" applyFont="1" applyBorder="1" applyAlignment="1">
      <alignment horizontal="center" vertical="center" wrapText="1"/>
    </xf>
    <xf numFmtId="166" fontId="15" fillId="0" borderId="5" xfId="2" applyNumberFormat="1" applyFont="1" applyBorder="1" applyAlignment="1">
      <alignment horizontal="center" vertical="center" wrapText="1"/>
    </xf>
    <xf numFmtId="167" fontId="16" fillId="0" borderId="5" xfId="2" applyNumberFormat="1" applyFont="1" applyBorder="1" applyAlignment="1">
      <alignment horizontal="center" vertical="center" wrapText="1"/>
    </xf>
    <xf numFmtId="164" fontId="16" fillId="0" borderId="5" xfId="2" applyNumberFormat="1" applyFont="1" applyBorder="1" applyAlignment="1">
      <alignment horizontal="center" vertical="center" wrapText="1"/>
    </xf>
    <xf numFmtId="174" fontId="16" fillId="0" borderId="5" xfId="2" applyNumberFormat="1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center" wrapText="1"/>
    </xf>
    <xf numFmtId="164" fontId="15" fillId="0" borderId="5" xfId="2" applyNumberFormat="1" applyFont="1" applyBorder="1" applyAlignment="1">
      <alignment horizontal="center" vertical="center" wrapText="1"/>
    </xf>
    <xf numFmtId="166" fontId="14" fillId="0" borderId="5" xfId="2" applyNumberFormat="1" applyFont="1" applyBorder="1" applyAlignment="1">
      <alignment vertical="center" wrapText="1"/>
    </xf>
    <xf numFmtId="166" fontId="16" fillId="0" borderId="5" xfId="2" applyNumberFormat="1" applyFont="1" applyBorder="1" applyAlignment="1">
      <alignment horizontal="center" vertical="center" wrapText="1"/>
    </xf>
    <xf numFmtId="0" fontId="12" fillId="0" borderId="0" xfId="2" applyFont="1"/>
    <xf numFmtId="0" fontId="20" fillId="0" borderId="0" xfId="2" applyFont="1" applyAlignment="1">
      <alignment horizontal="center"/>
    </xf>
    <xf numFmtId="0" fontId="14" fillId="0" borderId="5" xfId="2" applyFont="1" applyBorder="1" applyAlignment="1">
      <alignment horizontal="center" vertical="center"/>
    </xf>
    <xf numFmtId="0" fontId="16" fillId="2" borderId="5" xfId="2" applyFont="1" applyFill="1" applyBorder="1" applyAlignment="1">
      <alignment horizontal="center" vertical="center" wrapText="1"/>
    </xf>
    <xf numFmtId="0" fontId="14" fillId="2" borderId="5" xfId="2" applyFont="1" applyFill="1" applyBorder="1" applyAlignment="1">
      <alignment horizontal="center" vertical="center"/>
    </xf>
    <xf numFmtId="0" fontId="14" fillId="0" borderId="5" xfId="2" applyFont="1" applyBorder="1" applyAlignment="1">
      <alignment horizontal="center" vertical="top" wrapText="1"/>
    </xf>
    <xf numFmtId="0" fontId="14" fillId="2" borderId="5" xfId="2" applyFont="1" applyFill="1" applyBorder="1" applyAlignment="1">
      <alignment horizontal="center" vertical="top" wrapText="1"/>
    </xf>
    <xf numFmtId="0" fontId="15" fillId="0" borderId="0" xfId="2" applyFont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0" fontId="15" fillId="0" borderId="0" xfId="2" applyFont="1" applyAlignment="1">
      <alignment horizontal="left" vertical="center" wrapText="1"/>
    </xf>
    <xf numFmtId="0" fontId="33" fillId="0" borderId="0" xfId="2" applyFont="1" applyAlignment="1">
      <alignment horizontal="center" vertical="center" wrapText="1"/>
    </xf>
    <xf numFmtId="0" fontId="14" fillId="2" borderId="0" xfId="2" applyFont="1" applyFill="1" applyAlignment="1">
      <alignment horizontal="center" vertical="top" wrapText="1"/>
    </xf>
    <xf numFmtId="0" fontId="14" fillId="0" borderId="0" xfId="2" applyFont="1" applyAlignment="1">
      <alignment horizontal="center" vertical="top" wrapText="1"/>
    </xf>
    <xf numFmtId="0" fontId="16" fillId="5" borderId="5" xfId="2" applyFont="1" applyFill="1" applyBorder="1" applyAlignment="1">
      <alignment horizontal="center" vertical="center" wrapText="1"/>
    </xf>
    <xf numFmtId="166" fontId="16" fillId="3" borderId="5" xfId="2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166" fontId="0" fillId="2" borderId="5" xfId="0" applyNumberForma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166" fontId="45" fillId="0" borderId="5" xfId="0" applyNumberFormat="1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horizontal="center" vertical="center" wrapText="1"/>
    </xf>
    <xf numFmtId="166" fontId="46" fillId="0" borderId="5" xfId="0" applyNumberFormat="1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6" fontId="0" fillId="0" borderId="5" xfId="0" applyNumberFormat="1" applyFont="1" applyFill="1" applyBorder="1" applyAlignment="1">
      <alignment vertical="center"/>
    </xf>
    <xf numFmtId="0" fontId="20" fillId="0" borderId="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166" fontId="16" fillId="0" borderId="5" xfId="0" applyNumberFormat="1" applyFont="1" applyFill="1" applyBorder="1" applyAlignment="1">
      <alignment horizontal="left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166" fontId="16" fillId="0" borderId="5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3" borderId="5" xfId="2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166" fontId="16" fillId="0" borderId="5" xfId="0" applyNumberFormat="1" applyFont="1" applyFill="1" applyBorder="1" applyAlignment="1">
      <alignment horizontal="right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173" fontId="16" fillId="0" borderId="5" xfId="0" applyNumberFormat="1" applyFont="1" applyFill="1" applyBorder="1" applyAlignment="1">
      <alignment horizontal="right" vertical="center" wrapText="1"/>
    </xf>
    <xf numFmtId="0" fontId="16" fillId="0" borderId="5" xfId="0" applyFont="1" applyFill="1" applyBorder="1" applyAlignment="1">
      <alignment horizontal="left" vertical="center" wrapText="1"/>
    </xf>
    <xf numFmtId="166" fontId="15" fillId="0" borderId="7" xfId="0" applyNumberFormat="1" applyFont="1" applyFill="1" applyBorder="1" applyAlignment="1">
      <alignment horizontal="center" vertical="center" wrapText="1"/>
    </xf>
    <xf numFmtId="2" fontId="16" fillId="0" borderId="5" xfId="0" applyNumberFormat="1" applyFont="1" applyFill="1" applyBorder="1" applyAlignment="1">
      <alignment horizontal="right" vertical="center" wrapText="1"/>
    </xf>
    <xf numFmtId="166" fontId="30" fillId="0" borderId="5" xfId="0" applyNumberFormat="1" applyFont="1" applyFill="1" applyBorder="1" applyAlignment="1">
      <alignment horizontal="center" vertical="center" wrapText="1"/>
    </xf>
    <xf numFmtId="166" fontId="16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164" fontId="16" fillId="0" borderId="5" xfId="2" applyNumberFormat="1" applyFont="1" applyFill="1" applyBorder="1" applyAlignment="1">
      <alignment horizontal="center" vertical="center" wrapText="1"/>
    </xf>
    <xf numFmtId="166" fontId="3" fillId="2" borderId="0" xfId="0" applyNumberFormat="1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166" fontId="16" fillId="0" borderId="5" xfId="0" applyNumberFormat="1" applyFont="1" applyFill="1" applyBorder="1" applyAlignment="1">
      <alignment horizontal="right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173" fontId="16" fillId="0" borderId="5" xfId="0" applyNumberFormat="1" applyFont="1" applyFill="1" applyBorder="1" applyAlignment="1">
      <alignment horizontal="right" vertical="center" wrapText="1"/>
    </xf>
    <xf numFmtId="0" fontId="16" fillId="0" borderId="5" xfId="0" applyFont="1" applyFill="1" applyBorder="1" applyAlignment="1">
      <alignment horizontal="left" vertical="center" wrapText="1"/>
    </xf>
    <xf numFmtId="166" fontId="16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35" fillId="3" borderId="5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/>
    </xf>
    <xf numFmtId="166" fontId="30" fillId="2" borderId="5" xfId="0" applyNumberFormat="1" applyFont="1" applyFill="1" applyBorder="1" applyAlignment="1">
      <alignment vertical="center" wrapText="1"/>
    </xf>
    <xf numFmtId="166" fontId="40" fillId="0" borderId="5" xfId="0" applyNumberFormat="1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31" fillId="0" borderId="5" xfId="0" applyFont="1" applyBorder="1"/>
    <xf numFmtId="0" fontId="31" fillId="0" borderId="5" xfId="0" applyFont="1" applyBorder="1" applyAlignment="1">
      <alignment horizontal="left" vertical="center"/>
    </xf>
    <xf numFmtId="0" fontId="31" fillId="2" borderId="5" xfId="0" applyFont="1" applyFill="1" applyBorder="1"/>
    <xf numFmtId="0" fontId="14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165" fontId="14" fillId="2" borderId="5" xfId="0" applyNumberFormat="1" applyFont="1" applyFill="1" applyBorder="1" applyAlignment="1">
      <alignment horizontal="center" vertical="center"/>
    </xf>
    <xf numFmtId="0" fontId="52" fillId="2" borderId="5" xfId="0" applyFont="1" applyFill="1" applyBorder="1" applyAlignment="1">
      <alignment horizontal="center" vertical="center" wrapText="1"/>
    </xf>
    <xf numFmtId="165" fontId="15" fillId="3" borderId="5" xfId="0" applyNumberFormat="1" applyFont="1" applyFill="1" applyBorder="1" applyAlignment="1">
      <alignment horizontal="center" vertical="center"/>
    </xf>
    <xf numFmtId="167" fontId="16" fillId="2" borderId="5" xfId="0" applyNumberFormat="1" applyFont="1" applyFill="1" applyBorder="1" applyAlignment="1">
      <alignment horizontal="center" vertical="center" wrapText="1"/>
    </xf>
    <xf numFmtId="168" fontId="16" fillId="2" borderId="5" xfId="0" applyNumberFormat="1" applyFont="1" applyFill="1" applyBorder="1" applyAlignment="1">
      <alignment horizontal="center" vertical="center" wrapText="1"/>
    </xf>
    <xf numFmtId="0" fontId="15" fillId="3" borderId="5" xfId="0" applyNumberFormat="1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166" fontId="30" fillId="2" borderId="5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left" vertical="top" wrapText="1"/>
    </xf>
    <xf numFmtId="169" fontId="16" fillId="2" borderId="5" xfId="0" applyNumberFormat="1" applyFont="1" applyFill="1" applyBorder="1" applyAlignment="1">
      <alignment horizontal="center" vertical="center"/>
    </xf>
    <xf numFmtId="169" fontId="16" fillId="2" borderId="5" xfId="0" applyNumberFormat="1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vertical="center" wrapText="1"/>
    </xf>
    <xf numFmtId="16" fontId="16" fillId="2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/>
    </xf>
    <xf numFmtId="0" fontId="14" fillId="2" borderId="5" xfId="0" applyFont="1" applyFill="1" applyBorder="1"/>
    <xf numFmtId="0" fontId="16" fillId="2" borderId="5" xfId="0" applyFont="1" applyFill="1" applyBorder="1" applyAlignment="1">
      <alignment horizontal="center" vertical="center"/>
    </xf>
    <xf numFmtId="166" fontId="16" fillId="2" borderId="5" xfId="0" applyNumberFormat="1" applyFont="1" applyFill="1" applyBorder="1" applyAlignment="1">
      <alignment vertical="center"/>
    </xf>
    <xf numFmtId="0" fontId="16" fillId="2" borderId="5" xfId="0" applyFont="1" applyFill="1" applyBorder="1" applyAlignment="1">
      <alignment vertical="top" wrapText="1"/>
    </xf>
    <xf numFmtId="0" fontId="16" fillId="2" borderId="5" xfId="0" applyFont="1" applyFill="1" applyBorder="1" applyAlignment="1">
      <alignment horizontal="center"/>
    </xf>
    <xf numFmtId="0" fontId="53" fillId="2" borderId="5" xfId="0" applyFont="1" applyFill="1" applyBorder="1" applyAlignment="1">
      <alignment vertical="top" wrapText="1"/>
    </xf>
    <xf numFmtId="164" fontId="0" fillId="2" borderId="5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6" fillId="2" borderId="0" xfId="0" applyNumberFormat="1" applyFont="1" applyFill="1" applyBorder="1" applyAlignment="1">
      <alignment horizontal="center" vertical="center" wrapText="1"/>
    </xf>
    <xf numFmtId="0" fontId="15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0" fontId="16" fillId="2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166" fontId="36" fillId="0" borderId="5" xfId="0" applyNumberFormat="1" applyFont="1" applyFill="1" applyBorder="1" applyAlignment="1">
      <alignment horizontal="center" vertical="center" wrapText="1"/>
    </xf>
    <xf numFmtId="166" fontId="19" fillId="0" borderId="5" xfId="0" applyNumberFormat="1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173" fontId="16" fillId="0" borderId="6" xfId="0" applyNumberFormat="1" applyFont="1" applyFill="1" applyBorder="1" applyAlignment="1">
      <alignment horizontal="right" vertical="center" wrapText="1"/>
    </xf>
    <xf numFmtId="173" fontId="16" fillId="0" borderId="7" xfId="0" applyNumberFormat="1" applyFont="1" applyFill="1" applyBorder="1" applyAlignment="1">
      <alignment horizontal="right" vertical="center" wrapText="1"/>
    </xf>
    <xf numFmtId="166" fontId="16" fillId="0" borderId="5" xfId="0" applyNumberFormat="1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2" fontId="16" fillId="0" borderId="5" xfId="0" applyNumberFormat="1" applyFont="1" applyFill="1" applyBorder="1" applyAlignment="1">
      <alignment horizontal="right" vertical="center" wrapText="1"/>
    </xf>
    <xf numFmtId="0" fontId="16" fillId="0" borderId="8" xfId="0" applyFont="1" applyFill="1" applyBorder="1" applyAlignment="1">
      <alignment horizontal="center" vertical="center" wrapText="1"/>
    </xf>
    <xf numFmtId="2" fontId="16" fillId="0" borderId="6" xfId="0" applyNumberFormat="1" applyFont="1" applyFill="1" applyBorder="1" applyAlignment="1">
      <alignment horizontal="right" vertical="center" wrapText="1"/>
    </xf>
    <xf numFmtId="2" fontId="16" fillId="0" borderId="7" xfId="0" applyNumberFormat="1" applyFont="1" applyFill="1" applyBorder="1" applyAlignment="1">
      <alignment horizontal="right" vertical="center" wrapText="1"/>
    </xf>
    <xf numFmtId="166" fontId="16" fillId="0" borderId="6" xfId="0" applyNumberFormat="1" applyFont="1" applyFill="1" applyBorder="1" applyAlignment="1">
      <alignment horizontal="right" vertical="center" wrapText="1"/>
    </xf>
    <xf numFmtId="166" fontId="16" fillId="0" borderId="7" xfId="0" applyNumberFormat="1" applyFont="1" applyFill="1" applyBorder="1" applyAlignment="1">
      <alignment horizontal="right" vertical="center" wrapText="1"/>
    </xf>
    <xf numFmtId="166" fontId="15" fillId="0" borderId="6" xfId="0" applyNumberFormat="1" applyFont="1" applyFill="1" applyBorder="1" applyAlignment="1">
      <alignment horizontal="center" vertical="center" wrapText="1"/>
    </xf>
    <xf numFmtId="166" fontId="15" fillId="0" borderId="7" xfId="0" applyNumberFormat="1" applyFont="1" applyFill="1" applyBorder="1" applyAlignment="1">
      <alignment horizontal="center" vertical="center" wrapText="1"/>
    </xf>
    <xf numFmtId="173" fontId="16" fillId="0" borderId="5" xfId="0" applyNumberFormat="1" applyFont="1" applyFill="1" applyBorder="1" applyAlignment="1">
      <alignment horizontal="right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right" vertical="center" wrapText="1"/>
    </xf>
    <xf numFmtId="3" fontId="16" fillId="0" borderId="5" xfId="0" applyNumberFormat="1" applyFont="1" applyFill="1" applyBorder="1" applyAlignment="1">
      <alignment horizontal="center" vertical="center" wrapText="1"/>
    </xf>
    <xf numFmtId="166" fontId="16" fillId="0" borderId="5" xfId="0" applyNumberFormat="1" applyFont="1" applyFill="1" applyBorder="1" applyAlignment="1">
      <alignment horizontal="center" vertical="center" wrapText="1"/>
    </xf>
    <xf numFmtId="166" fontId="30" fillId="0" borderId="5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0" fontId="28" fillId="0" borderId="0" xfId="0" applyFont="1" applyAlignment="1">
      <alignment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right" vertical="center" wrapText="1"/>
    </xf>
    <xf numFmtId="0" fontId="28" fillId="0" borderId="4" xfId="0" applyFont="1" applyBorder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right" vertical="top" wrapText="1"/>
    </xf>
    <xf numFmtId="0" fontId="16" fillId="0" borderId="0" xfId="0" applyFont="1" applyAlignment="1">
      <alignment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righ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51" fillId="2" borderId="8" xfId="0" applyFont="1" applyFill="1" applyBorder="1" applyAlignment="1">
      <alignment horizontal="center" vertical="center" wrapText="1"/>
    </xf>
    <xf numFmtId="0" fontId="51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166" fontId="16" fillId="2" borderId="6" xfId="0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6" fillId="2" borderId="7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0" fillId="2" borderId="7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166" fontId="30" fillId="2" borderId="6" xfId="0" applyNumberFormat="1" applyFont="1" applyFill="1" applyBorder="1" applyAlignment="1">
      <alignment horizontal="center" vertical="center" wrapText="1"/>
    </xf>
    <xf numFmtId="166" fontId="30" fillId="2" borderId="7" xfId="0" applyNumberFormat="1" applyFont="1" applyFill="1" applyBorder="1" applyAlignment="1">
      <alignment horizontal="center" vertical="center" wrapText="1"/>
    </xf>
    <xf numFmtId="166" fontId="15" fillId="2" borderId="6" xfId="0" applyNumberFormat="1" applyFont="1" applyFill="1" applyBorder="1" applyAlignment="1">
      <alignment horizontal="center" vertical="center" wrapText="1"/>
    </xf>
    <xf numFmtId="166" fontId="15" fillId="2" borderId="7" xfId="0" applyNumberFormat="1" applyFont="1" applyFill="1" applyBorder="1" applyAlignment="1">
      <alignment horizontal="center" vertical="center" wrapText="1"/>
    </xf>
    <xf numFmtId="166" fontId="30" fillId="3" borderId="6" xfId="0" applyNumberFormat="1" applyFont="1" applyFill="1" applyBorder="1" applyAlignment="1">
      <alignment horizontal="center" vertical="center" wrapText="1"/>
    </xf>
    <xf numFmtId="166" fontId="32" fillId="3" borderId="8" xfId="0" applyNumberFormat="1" applyFont="1" applyFill="1" applyBorder="1" applyAlignment="1">
      <alignment horizontal="center" vertical="center" wrapText="1"/>
    </xf>
    <xf numFmtId="166" fontId="16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31" fillId="2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center" vertical="center" wrapText="1"/>
    </xf>
    <xf numFmtId="166" fontId="30" fillId="2" borderId="6" xfId="0" applyNumberFormat="1" applyFont="1" applyFill="1" applyBorder="1" applyAlignment="1">
      <alignment vertical="center" wrapText="1"/>
    </xf>
    <xf numFmtId="0" fontId="31" fillId="2" borderId="7" xfId="0" applyFont="1" applyFill="1" applyBorder="1" applyAlignment="1">
      <alignment vertical="center" wrapText="1"/>
    </xf>
    <xf numFmtId="0" fontId="30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166" fontId="16" fillId="2" borderId="5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166" fontId="15" fillId="2" borderId="5" xfId="0" applyNumberFormat="1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28" fillId="0" borderId="0" xfId="2" applyFont="1" applyAlignment="1">
      <alignment horizontal="center" vertical="center" wrapText="1"/>
    </xf>
    <xf numFmtId="0" fontId="47" fillId="0" borderId="0" xfId="2" applyFont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4" fillId="0" borderId="5" xfId="2" applyFont="1" applyBorder="1" applyAlignment="1">
      <alignment vertical="center" wrapText="1"/>
    </xf>
    <xf numFmtId="0" fontId="15" fillId="3" borderId="5" xfId="2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8" xfId="0" applyFont="1" applyBorder="1" applyAlignment="1">
      <alignment vertical="top"/>
    </xf>
    <xf numFmtId="0" fontId="19" fillId="0" borderId="5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 wrapText="1"/>
    </xf>
    <xf numFmtId="0" fontId="35" fillId="3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1352550</xdr:colOff>
      <xdr:row>16</xdr:row>
      <xdr:rowOff>0</xdr:rowOff>
    </xdr:from>
    <xdr:to>
      <xdr:col>1</xdr:col>
      <xdr:colOff>1543050</xdr:colOff>
      <xdr:row>16</xdr:row>
      <xdr:rowOff>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3048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1971675</xdr:colOff>
      <xdr:row>16</xdr:row>
      <xdr:rowOff>0</xdr:rowOff>
    </xdr:from>
    <xdr:to>
      <xdr:col>1</xdr:col>
      <xdr:colOff>2190750</xdr:colOff>
      <xdr:row>16</xdr:row>
      <xdr:rowOff>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3048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18</xdr:row>
      <xdr:rowOff>0</xdr:rowOff>
    </xdr:from>
    <xdr:to>
      <xdr:col>1</xdr:col>
      <xdr:colOff>260350</xdr:colOff>
      <xdr:row>18</xdr:row>
      <xdr:rowOff>0</xdr:rowOff>
    </xdr:to>
    <xdr:pic>
      <xdr:nvPicPr>
        <xdr:cNvPr id="1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6625" y="1200150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320675</xdr:colOff>
      <xdr:row>18</xdr:row>
      <xdr:rowOff>0</xdr:rowOff>
    </xdr:from>
    <xdr:to>
      <xdr:col>1</xdr:col>
      <xdr:colOff>539750</xdr:colOff>
      <xdr:row>18</xdr:row>
      <xdr:rowOff>0</xdr:rowOff>
    </xdr:to>
    <xdr:pic>
      <xdr:nvPicPr>
        <xdr:cNvPr id="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87450" y="12001500"/>
          <a:ext cx="219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69850</xdr:colOff>
      <xdr:row>18</xdr:row>
      <xdr:rowOff>0</xdr:rowOff>
    </xdr:from>
    <xdr:to>
      <xdr:col>8</xdr:col>
      <xdr:colOff>260350</xdr:colOff>
      <xdr:row>18</xdr:row>
      <xdr:rowOff>0</xdr:rowOff>
    </xdr:to>
    <xdr:pic>
      <xdr:nvPicPr>
        <xdr:cNvPr id="1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94775" y="1200150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320675</xdr:colOff>
      <xdr:row>18</xdr:row>
      <xdr:rowOff>0</xdr:rowOff>
    </xdr:from>
    <xdr:to>
      <xdr:col>8</xdr:col>
      <xdr:colOff>539750</xdr:colOff>
      <xdr:row>18</xdr:row>
      <xdr:rowOff>0</xdr:rowOff>
    </xdr:to>
    <xdr:pic>
      <xdr:nvPicPr>
        <xdr:cNvPr id="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45600" y="12001500"/>
          <a:ext cx="219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view="pageBreakPreview" zoomScaleNormal="100" zoomScaleSheetLayoutView="100" workbookViewId="0">
      <selection activeCell="A4" sqref="A4"/>
    </sheetView>
  </sheetViews>
  <sheetFormatPr defaultRowHeight="15" x14ac:dyDescent="0.25"/>
  <cols>
    <col min="1" max="1" width="111.140625" customWidth="1"/>
    <col min="2" max="2" width="19.140625" style="4" customWidth="1"/>
    <col min="3" max="3" width="17.85546875" style="4" customWidth="1"/>
    <col min="4" max="4" width="18.28515625" style="4" customWidth="1"/>
    <col min="5" max="5" width="9.140625" style="4"/>
  </cols>
  <sheetData>
    <row r="1" spans="1:5" ht="65.25" customHeight="1" x14ac:dyDescent="0.25">
      <c r="A1" s="15" t="s">
        <v>303</v>
      </c>
      <c r="B1" s="15" t="s">
        <v>15</v>
      </c>
      <c r="C1" s="15" t="s">
        <v>104</v>
      </c>
      <c r="D1" s="15" t="s">
        <v>302</v>
      </c>
      <c r="E1" s="14"/>
    </row>
    <row r="2" spans="1:5" s="5" customFormat="1" ht="45" x14ac:dyDescent="0.25">
      <c r="A2" s="430" t="s">
        <v>301</v>
      </c>
      <c r="B2" s="497">
        <v>3</v>
      </c>
      <c r="C2" s="497">
        <v>0</v>
      </c>
      <c r="D2" s="498" t="s">
        <v>404</v>
      </c>
      <c r="E2" s="497">
        <f t="shared" ref="E2:E7" si="0">SUM(B2:D2)</f>
        <v>3</v>
      </c>
    </row>
    <row r="3" spans="1:5" s="5" customFormat="1" ht="45" x14ac:dyDescent="0.25">
      <c r="A3" s="430" t="s">
        <v>300</v>
      </c>
      <c r="B3" s="497">
        <v>1</v>
      </c>
      <c r="C3" s="497">
        <v>1</v>
      </c>
      <c r="D3" s="498" t="s">
        <v>404</v>
      </c>
      <c r="E3" s="497">
        <f t="shared" si="0"/>
        <v>2</v>
      </c>
    </row>
    <row r="4" spans="1:5" s="5" customFormat="1" ht="45" x14ac:dyDescent="0.25">
      <c r="A4" s="430" t="s">
        <v>639</v>
      </c>
      <c r="B4" s="497">
        <v>44</v>
      </c>
      <c r="C4" s="497">
        <v>36</v>
      </c>
      <c r="D4" s="498">
        <v>0</v>
      </c>
      <c r="E4" s="497">
        <f t="shared" si="0"/>
        <v>80</v>
      </c>
    </row>
    <row r="5" spans="1:5" s="5" customFormat="1" ht="30" x14ac:dyDescent="0.25">
      <c r="A5" s="430" t="s">
        <v>299</v>
      </c>
      <c r="B5" s="497">
        <v>3</v>
      </c>
      <c r="C5" s="497">
        <v>9</v>
      </c>
      <c r="D5" s="498" t="s">
        <v>404</v>
      </c>
      <c r="E5" s="497">
        <f t="shared" si="0"/>
        <v>12</v>
      </c>
    </row>
    <row r="6" spans="1:5" s="5" customFormat="1" ht="30" x14ac:dyDescent="0.25">
      <c r="A6" s="430" t="s">
        <v>638</v>
      </c>
      <c r="B6" s="497">
        <v>6</v>
      </c>
      <c r="C6" s="497">
        <v>8</v>
      </c>
      <c r="D6" s="498" t="s">
        <v>404</v>
      </c>
      <c r="E6" s="497">
        <f t="shared" si="0"/>
        <v>14</v>
      </c>
    </row>
    <row r="7" spans="1:5" x14ac:dyDescent="0.25">
      <c r="A7" s="13" t="s">
        <v>298</v>
      </c>
      <c r="B7" s="12">
        <f>SUM(B2:B6)</f>
        <v>57</v>
      </c>
      <c r="C7" s="12">
        <f>SUM(C2:C6)</f>
        <v>54</v>
      </c>
      <c r="D7" s="11">
        <f>SUM(D2:D6)</f>
        <v>0</v>
      </c>
      <c r="E7" s="10">
        <f t="shared" si="0"/>
        <v>111</v>
      </c>
    </row>
    <row r="8" spans="1:5" s="5" customFormat="1" x14ac:dyDescent="0.25">
      <c r="A8" s="9"/>
      <c r="B8" s="7"/>
      <c r="C8" s="7"/>
      <c r="D8" s="7"/>
      <c r="E8" s="7"/>
    </row>
    <row r="9" spans="1:5" s="5" customFormat="1" x14ac:dyDescent="0.25">
      <c r="A9" s="8"/>
      <c r="B9" s="7"/>
      <c r="C9" s="7"/>
      <c r="D9" s="7"/>
      <c r="E9" s="7"/>
    </row>
    <row r="10" spans="1:5" s="5" customFormat="1" x14ac:dyDescent="0.25">
      <c r="B10" s="6"/>
      <c r="C10" s="6"/>
      <c r="D10" s="6"/>
      <c r="E10" s="6"/>
    </row>
    <row r="11" spans="1:5" s="5" customFormat="1" x14ac:dyDescent="0.25">
      <c r="B11" s="6"/>
      <c r="C11" s="6"/>
      <c r="D11" s="6"/>
      <c r="E11" s="6"/>
    </row>
  </sheetData>
  <pageMargins left="0.7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298"/>
  <sheetViews>
    <sheetView zoomScale="55" zoomScaleNormal="55" zoomScaleSheetLayoutView="55" workbookViewId="0">
      <pane xSplit="2" ySplit="11" topLeftCell="C90" activePane="bottomRight" state="frozen"/>
      <selection pane="topRight" activeCell="C1" sqref="C1"/>
      <selection pane="bottomLeft" activeCell="A12" sqref="A12"/>
      <selection pane="bottomRight" activeCell="D82" sqref="D82"/>
    </sheetView>
  </sheetViews>
  <sheetFormatPr defaultRowHeight="17.25" x14ac:dyDescent="0.3"/>
  <cols>
    <col min="1" max="1" width="9.140625" style="118"/>
    <col min="2" max="2" width="36.28515625" style="236" customWidth="1"/>
    <col min="4" max="4" width="38.140625" style="235" customWidth="1"/>
    <col min="5" max="5" width="18.85546875" style="60" customWidth="1"/>
    <col min="6" max="6" width="16.140625" style="234" customWidth="1"/>
    <col min="7" max="7" width="18.5703125" style="232" customWidth="1"/>
    <col min="8" max="8" width="17.7109375" style="232" customWidth="1"/>
    <col min="9" max="9" width="17.7109375" style="332" customWidth="1"/>
    <col min="10" max="10" width="12.5703125" style="60" customWidth="1"/>
    <col min="11" max="11" width="49.28515625" style="233" customWidth="1"/>
    <col min="12" max="12" width="12.5703125" style="60" customWidth="1"/>
    <col min="13" max="14" width="21" style="60" customWidth="1"/>
    <col min="15" max="15" width="14.140625" style="232" customWidth="1"/>
    <col min="16" max="16" width="18.42578125" style="60" customWidth="1"/>
    <col min="17" max="17" width="18.7109375" style="60" customWidth="1"/>
    <col min="18" max="18" width="19.7109375" style="231" customWidth="1"/>
    <col min="19" max="19" width="27.7109375" style="230" customWidth="1"/>
    <col min="20" max="20" width="9.140625" style="229"/>
  </cols>
  <sheetData>
    <row r="1" spans="1:24" ht="18.75" x14ac:dyDescent="0.25">
      <c r="B1" s="300"/>
      <c r="C1" s="106"/>
      <c r="D1" s="299"/>
      <c r="E1" s="298"/>
      <c r="F1" s="297"/>
      <c r="G1" s="296"/>
      <c r="H1" s="296"/>
      <c r="I1" s="293"/>
      <c r="J1" s="293"/>
      <c r="K1" s="295"/>
      <c r="L1" s="293"/>
      <c r="M1" s="293"/>
      <c r="N1" s="293"/>
      <c r="O1" s="294"/>
      <c r="P1" s="293"/>
      <c r="Q1" s="293"/>
      <c r="R1" s="349"/>
    </row>
    <row r="2" spans="1:24" ht="20.25" x14ac:dyDescent="0.25">
      <c r="B2" s="543" t="s">
        <v>0</v>
      </c>
      <c r="C2" s="543"/>
      <c r="D2" s="543"/>
      <c r="E2" s="543"/>
      <c r="F2" s="543"/>
      <c r="G2" s="544"/>
      <c r="H2" s="544"/>
      <c r="I2" s="545"/>
      <c r="J2" s="543"/>
      <c r="K2" s="543"/>
      <c r="L2" s="543"/>
      <c r="M2" s="543"/>
      <c r="N2" s="543"/>
      <c r="O2" s="544"/>
      <c r="P2" s="543"/>
      <c r="Q2" s="543"/>
      <c r="R2" s="142"/>
      <c r="X2" t="s">
        <v>15</v>
      </c>
    </row>
    <row r="3" spans="1:24" ht="16.5" customHeight="1" x14ac:dyDescent="0.25">
      <c r="B3" s="543" t="s">
        <v>1</v>
      </c>
      <c r="C3" s="543"/>
      <c r="D3" s="543"/>
      <c r="E3" s="543"/>
      <c r="F3" s="543"/>
      <c r="G3" s="544"/>
      <c r="H3" s="544"/>
      <c r="I3" s="545"/>
      <c r="J3" s="543"/>
      <c r="K3" s="543"/>
      <c r="L3" s="543"/>
      <c r="M3" s="543"/>
      <c r="N3" s="543"/>
      <c r="O3" s="544"/>
      <c r="P3" s="543"/>
      <c r="Q3" s="543"/>
      <c r="R3" s="142"/>
      <c r="X3" t="s">
        <v>25</v>
      </c>
    </row>
    <row r="4" spans="1:24" ht="24" customHeight="1" x14ac:dyDescent="0.25">
      <c r="B4" s="546" t="s">
        <v>599</v>
      </c>
      <c r="C4" s="546"/>
      <c r="D4" s="546"/>
      <c r="E4" s="546"/>
      <c r="F4" s="546"/>
      <c r="G4" s="547"/>
      <c r="H4" s="547"/>
      <c r="I4" s="548"/>
      <c r="J4" s="546"/>
      <c r="K4" s="546"/>
      <c r="L4" s="546"/>
      <c r="M4" s="546"/>
      <c r="N4" s="546"/>
      <c r="O4" s="547"/>
      <c r="P4" s="546"/>
      <c r="Q4" s="546"/>
      <c r="R4" s="142"/>
      <c r="X4" t="s">
        <v>640</v>
      </c>
    </row>
    <row r="5" spans="1:24" ht="16.5" x14ac:dyDescent="0.25">
      <c r="B5" s="549" t="s">
        <v>331</v>
      </c>
      <c r="C5" s="549"/>
      <c r="D5" s="549"/>
      <c r="E5" s="549"/>
      <c r="F5" s="549"/>
      <c r="G5" s="550"/>
      <c r="H5" s="550"/>
      <c r="I5" s="551"/>
      <c r="J5" s="549"/>
      <c r="K5" s="549"/>
      <c r="L5" s="549"/>
      <c r="M5" s="549"/>
      <c r="N5" s="549"/>
      <c r="O5" s="550"/>
      <c r="P5" s="549"/>
      <c r="Q5" s="549"/>
      <c r="R5" s="292"/>
    </row>
    <row r="6" spans="1:24" ht="20.25" x14ac:dyDescent="0.25">
      <c r="B6" s="543" t="s">
        <v>271</v>
      </c>
      <c r="C6" s="543"/>
      <c r="D6" s="543"/>
      <c r="E6" s="543"/>
      <c r="F6" s="543"/>
      <c r="G6" s="544"/>
      <c r="H6" s="544"/>
      <c r="I6" s="545"/>
      <c r="J6" s="543"/>
      <c r="K6" s="543"/>
      <c r="L6" s="543"/>
      <c r="M6" s="543"/>
      <c r="N6" s="543"/>
      <c r="O6" s="544"/>
      <c r="P6" s="543"/>
      <c r="Q6" s="543"/>
      <c r="R6" s="349"/>
    </row>
    <row r="7" spans="1:24" ht="16.5" x14ac:dyDescent="0.25">
      <c r="B7" s="349"/>
      <c r="C7" s="445"/>
      <c r="D7" s="195"/>
      <c r="E7" s="51"/>
      <c r="F7" s="291"/>
      <c r="G7" s="289"/>
      <c r="H7" s="289"/>
      <c r="I7" s="328"/>
      <c r="J7" s="51"/>
      <c r="K7" s="290"/>
      <c r="L7" s="51"/>
      <c r="M7" s="51"/>
      <c r="N7" s="51"/>
      <c r="O7" s="289"/>
      <c r="P7" s="51"/>
      <c r="Q7" s="51"/>
      <c r="R7" s="349"/>
    </row>
    <row r="8" spans="1:24" ht="16.5" x14ac:dyDescent="0.25">
      <c r="A8" s="514" t="s">
        <v>3</v>
      </c>
      <c r="B8" s="514" t="s">
        <v>3</v>
      </c>
      <c r="C8" s="446"/>
      <c r="D8" s="541" t="s">
        <v>4</v>
      </c>
      <c r="E8" s="541"/>
      <c r="F8" s="541"/>
      <c r="G8" s="552"/>
      <c r="H8" s="552"/>
      <c r="I8" s="553"/>
      <c r="J8" s="541"/>
      <c r="K8" s="541"/>
      <c r="L8" s="541"/>
      <c r="M8" s="541"/>
      <c r="N8" s="541"/>
      <c r="O8" s="552"/>
      <c r="P8" s="541"/>
      <c r="Q8" s="554"/>
      <c r="R8" s="554"/>
    </row>
    <row r="9" spans="1:24" ht="16.5" x14ac:dyDescent="0.25">
      <c r="A9" s="514"/>
      <c r="B9" s="514"/>
      <c r="C9" s="446"/>
      <c r="D9" s="541" t="s">
        <v>598</v>
      </c>
      <c r="E9" s="541"/>
      <c r="F9" s="541"/>
      <c r="G9" s="552"/>
      <c r="H9" s="552"/>
      <c r="I9" s="553"/>
      <c r="J9" s="541" t="s">
        <v>597</v>
      </c>
      <c r="K9" s="555"/>
      <c r="L9" s="555"/>
      <c r="M9" s="555"/>
      <c r="N9" s="555"/>
      <c r="O9" s="556"/>
      <c r="P9" s="555"/>
      <c r="Q9" s="541" t="s">
        <v>7</v>
      </c>
      <c r="R9" s="541"/>
      <c r="S9" s="542"/>
    </row>
    <row r="10" spans="1:24" ht="66" x14ac:dyDescent="0.25">
      <c r="A10" s="508"/>
      <c r="B10" s="514"/>
      <c r="C10" s="446" t="s">
        <v>3</v>
      </c>
      <c r="D10" s="288" t="s">
        <v>8</v>
      </c>
      <c r="E10" s="286" t="s">
        <v>9</v>
      </c>
      <c r="F10" s="285" t="s">
        <v>363</v>
      </c>
      <c r="G10" s="285" t="s">
        <v>362</v>
      </c>
      <c r="H10" s="285" t="s">
        <v>361</v>
      </c>
      <c r="I10" s="331" t="s">
        <v>360</v>
      </c>
      <c r="J10" s="431" t="s">
        <v>3</v>
      </c>
      <c r="K10" s="287" t="s">
        <v>8</v>
      </c>
      <c r="L10" s="286" t="s">
        <v>9</v>
      </c>
      <c r="M10" s="285" t="s">
        <v>359</v>
      </c>
      <c r="N10" s="285" t="s">
        <v>358</v>
      </c>
      <c r="O10" s="285" t="s">
        <v>357</v>
      </c>
      <c r="P10" s="285" t="s">
        <v>356</v>
      </c>
      <c r="Q10" s="46" t="s">
        <v>322</v>
      </c>
      <c r="R10" s="432" t="s">
        <v>10</v>
      </c>
      <c r="S10" s="432" t="s">
        <v>11</v>
      </c>
    </row>
    <row r="11" spans="1:24" s="278" customFormat="1" ht="15.75" x14ac:dyDescent="0.25">
      <c r="A11" s="283">
        <v>1</v>
      </c>
      <c r="B11" s="284">
        <v>2</v>
      </c>
      <c r="C11" s="43">
        <v>3</v>
      </c>
      <c r="D11" s="283">
        <v>4</v>
      </c>
      <c r="E11" s="44">
        <v>5</v>
      </c>
      <c r="F11" s="44">
        <v>6</v>
      </c>
      <c r="G11" s="282">
        <v>7</v>
      </c>
      <c r="H11" s="44">
        <v>8</v>
      </c>
      <c r="I11" s="329">
        <v>9</v>
      </c>
      <c r="J11" s="44">
        <v>10</v>
      </c>
      <c r="K11" s="44">
        <v>11</v>
      </c>
      <c r="L11" s="282">
        <v>12</v>
      </c>
      <c r="M11" s="44">
        <v>13</v>
      </c>
      <c r="N11" s="44">
        <v>14</v>
      </c>
      <c r="O11" s="44">
        <v>15</v>
      </c>
      <c r="P11" s="282">
        <v>16</v>
      </c>
      <c r="Q11" s="281">
        <v>17</v>
      </c>
      <c r="R11" s="280">
        <v>18</v>
      </c>
      <c r="S11" s="280">
        <v>19</v>
      </c>
      <c r="T11" s="279"/>
    </row>
    <row r="12" spans="1:24" ht="66" customHeight="1" x14ac:dyDescent="0.25">
      <c r="A12" s="505" t="s">
        <v>319</v>
      </c>
      <c r="B12" s="508" t="s">
        <v>596</v>
      </c>
      <c r="C12" s="432" t="s">
        <v>13</v>
      </c>
      <c r="D12" s="34" t="s">
        <v>595</v>
      </c>
      <c r="E12" s="431"/>
      <c r="F12" s="264"/>
      <c r="G12" s="264"/>
      <c r="H12" s="237"/>
      <c r="I12" s="246"/>
      <c r="J12" s="432" t="s">
        <v>13</v>
      </c>
      <c r="K12" s="34" t="str">
        <f>D12</f>
        <v>Библиотечное, библиографическое и информационное обслуживание пользователей библиотеки</v>
      </c>
      <c r="L12" s="434"/>
      <c r="M12" s="444"/>
      <c r="N12" s="444"/>
      <c r="O12" s="237"/>
      <c r="P12" s="193"/>
      <c r="Q12" s="436"/>
      <c r="R12" s="432"/>
      <c r="S12" s="514" t="s">
        <v>15</v>
      </c>
      <c r="T12" s="268"/>
      <c r="U12" s="60"/>
    </row>
    <row r="13" spans="1:24" ht="66" customHeight="1" x14ac:dyDescent="0.25">
      <c r="A13" s="506"/>
      <c r="B13" s="509"/>
      <c r="C13" s="139" t="s">
        <v>16</v>
      </c>
      <c r="D13" s="440" t="s">
        <v>594</v>
      </c>
      <c r="E13" s="19" t="s">
        <v>18</v>
      </c>
      <c r="F13" s="276">
        <f>100-(751502*100/759000)+100</f>
        <v>100.98787878787878</v>
      </c>
      <c r="G13" s="276">
        <f>100-(751502*100/776989)+100</f>
        <v>103.28022661839485</v>
      </c>
      <c r="H13" s="435">
        <f>IF(G13/F13*100&gt;100,100,G13/F13*100)</f>
        <v>100</v>
      </c>
      <c r="I13" s="274"/>
      <c r="J13" s="139" t="s">
        <v>424</v>
      </c>
      <c r="K13" s="197" t="s">
        <v>335</v>
      </c>
      <c r="L13" s="197" t="s">
        <v>20</v>
      </c>
      <c r="M13" s="319">
        <v>759000</v>
      </c>
      <c r="N13" s="319">
        <v>776989</v>
      </c>
      <c r="O13" s="320">
        <f>IF(N13/M13*100&gt;110,110,N13/M13*100)</f>
        <v>102.37009222661398</v>
      </c>
      <c r="P13" s="193"/>
      <c r="Q13" s="246"/>
      <c r="R13" s="36"/>
      <c r="S13" s="514"/>
      <c r="T13" s="268"/>
      <c r="U13" s="60"/>
    </row>
    <row r="14" spans="1:24" ht="49.5" customHeight="1" x14ac:dyDescent="0.25">
      <c r="A14" s="506"/>
      <c r="B14" s="509"/>
      <c r="C14" s="139" t="s">
        <v>21</v>
      </c>
      <c r="D14" s="440" t="s">
        <v>502</v>
      </c>
      <c r="E14" s="19" t="s">
        <v>18</v>
      </c>
      <c r="F14" s="240" t="s">
        <v>556</v>
      </c>
      <c r="G14" s="277">
        <v>0</v>
      </c>
      <c r="H14" s="435">
        <v>100</v>
      </c>
      <c r="I14" s="274"/>
      <c r="J14" s="139"/>
      <c r="K14" s="197"/>
      <c r="L14" s="197"/>
      <c r="M14" s="197"/>
      <c r="N14" s="197"/>
      <c r="O14" s="320"/>
      <c r="P14" s="193"/>
      <c r="Q14" s="246"/>
      <c r="R14" s="36"/>
      <c r="S14" s="514"/>
      <c r="T14" s="268"/>
      <c r="U14" s="60"/>
    </row>
    <row r="15" spans="1:24" s="60" customFormat="1" ht="53.25" customHeight="1" x14ac:dyDescent="0.25">
      <c r="A15" s="506"/>
      <c r="B15" s="509"/>
      <c r="C15" s="20"/>
      <c r="D15" s="466" t="s">
        <v>644</v>
      </c>
      <c r="E15" s="20"/>
      <c r="F15" s="301"/>
      <c r="G15" s="302"/>
      <c r="H15" s="303"/>
      <c r="I15" s="86">
        <f>(H14+H13)/2</f>
        <v>100</v>
      </c>
      <c r="J15" s="447"/>
      <c r="K15" s="466" t="s">
        <v>644</v>
      </c>
      <c r="L15" s="447"/>
      <c r="M15" s="447"/>
      <c r="N15" s="447"/>
      <c r="O15" s="303"/>
      <c r="P15" s="18">
        <f>O13</f>
        <v>102.37009222661398</v>
      </c>
      <c r="Q15" s="18">
        <f>(I15+P15)/2</f>
        <v>101.18504611330698</v>
      </c>
      <c r="R15" s="447" t="s">
        <v>25</v>
      </c>
      <c r="S15" s="514"/>
      <c r="T15" s="268"/>
      <c r="U15" s="315"/>
    </row>
    <row r="16" spans="1:24" s="243" customFormat="1" ht="49.5" customHeight="1" x14ac:dyDescent="0.25">
      <c r="A16" s="506"/>
      <c r="B16" s="509"/>
      <c r="C16" s="432" t="s">
        <v>26</v>
      </c>
      <c r="D16" s="34" t="s">
        <v>593</v>
      </c>
      <c r="E16" s="431"/>
      <c r="F16" s="264"/>
      <c r="G16" s="264"/>
      <c r="H16" s="237"/>
      <c r="I16" s="246"/>
      <c r="J16" s="432" t="str">
        <f>C16</f>
        <v>II</v>
      </c>
      <c r="K16" s="34" t="str">
        <f>D16</f>
        <v>Библиографическая обработка документов и создание каталогов</v>
      </c>
      <c r="L16" s="432"/>
      <c r="M16" s="132"/>
      <c r="N16" s="132"/>
      <c r="O16" s="237"/>
      <c r="P16" s="193"/>
      <c r="Q16" s="436"/>
      <c r="R16" s="432"/>
      <c r="S16" s="514"/>
      <c r="T16" s="268"/>
      <c r="U16" s="316"/>
    </row>
    <row r="17" spans="1:21" ht="53.25" customHeight="1" x14ac:dyDescent="0.25">
      <c r="A17" s="506"/>
      <c r="B17" s="509"/>
      <c r="C17" s="139" t="s">
        <v>28</v>
      </c>
      <c r="D17" s="440" t="s">
        <v>592</v>
      </c>
      <c r="E17" s="19" t="s">
        <v>18</v>
      </c>
      <c r="F17" s="276">
        <f>100 -(190000*100/191000)+100</f>
        <v>100.52356020942409</v>
      </c>
      <c r="G17" s="276">
        <f>100-(196157*100/199384)+100</f>
        <v>101.61848493359547</v>
      </c>
      <c r="H17" s="435">
        <f>IF(G17/F17*100&gt;100,100,G17/F17*100)</f>
        <v>100</v>
      </c>
      <c r="I17" s="274"/>
      <c r="J17" s="139" t="str">
        <f>C17</f>
        <v>2.1.</v>
      </c>
      <c r="K17" s="440" t="s">
        <v>591</v>
      </c>
      <c r="L17" s="434" t="s">
        <v>216</v>
      </c>
      <c r="M17" s="275">
        <v>560000</v>
      </c>
      <c r="N17" s="275">
        <v>565108</v>
      </c>
      <c r="O17" s="435">
        <f>IF(N17/M17*100&gt;110,110,N17/M17*100)</f>
        <v>100.91214285714285</v>
      </c>
      <c r="P17" s="193"/>
      <c r="Q17" s="436"/>
      <c r="R17" s="432"/>
      <c r="S17" s="514"/>
      <c r="T17" s="268"/>
      <c r="U17" s="60"/>
    </row>
    <row r="18" spans="1:21" ht="53.25" customHeight="1" x14ac:dyDescent="0.25">
      <c r="A18" s="506"/>
      <c r="B18" s="509"/>
      <c r="C18" s="139" t="s">
        <v>30</v>
      </c>
      <c r="D18" s="440" t="s">
        <v>590</v>
      </c>
      <c r="E18" s="19" t="s">
        <v>18</v>
      </c>
      <c r="F18" s="439">
        <f>560000*100/775000</f>
        <v>72.258064516129039</v>
      </c>
      <c r="G18" s="439">
        <f>565108*100/782113</f>
        <v>72.254009331132451</v>
      </c>
      <c r="H18" s="435">
        <f>IF(G18/F18*100&gt;100,100,G18/F18*100)</f>
        <v>99.994387913620798</v>
      </c>
      <c r="I18" s="274"/>
      <c r="J18" s="139" t="s">
        <v>30</v>
      </c>
      <c r="K18" s="440" t="s">
        <v>589</v>
      </c>
      <c r="L18" s="162" t="s">
        <v>216</v>
      </c>
      <c r="M18" s="275">
        <v>775000</v>
      </c>
      <c r="N18" s="275">
        <v>782113</v>
      </c>
      <c r="O18" s="435">
        <f>IF(N18/M18*100&gt;110,110,N18/M18*100)</f>
        <v>100.9178064516129</v>
      </c>
      <c r="P18" s="193"/>
      <c r="Q18" s="436"/>
      <c r="R18" s="432"/>
      <c r="S18" s="514"/>
      <c r="T18" s="268"/>
      <c r="U18" s="60"/>
    </row>
    <row r="19" spans="1:21" s="60" customFormat="1" ht="53.25" customHeight="1" x14ac:dyDescent="0.25">
      <c r="A19" s="507"/>
      <c r="B19" s="510"/>
      <c r="C19" s="20"/>
      <c r="D19" s="466" t="s">
        <v>644</v>
      </c>
      <c r="E19" s="20"/>
      <c r="F19" s="301"/>
      <c r="G19" s="302"/>
      <c r="H19" s="303"/>
      <c r="I19" s="86">
        <f>(H18+H17)/2</f>
        <v>99.997193956810406</v>
      </c>
      <c r="J19" s="447"/>
      <c r="K19" s="466" t="s">
        <v>644</v>
      </c>
      <c r="L19" s="20"/>
      <c r="M19" s="126"/>
      <c r="N19" s="126"/>
      <c r="O19" s="303"/>
      <c r="P19" s="18">
        <f>(O18+O17)/2</f>
        <v>100.91497465437789</v>
      </c>
      <c r="Q19" s="18">
        <f>(I19+P19)/2</f>
        <v>100.45608430559415</v>
      </c>
      <c r="R19" s="447" t="s">
        <v>25</v>
      </c>
      <c r="S19" s="514"/>
      <c r="T19" s="268"/>
    </row>
    <row r="20" spans="1:21" ht="65.25" customHeight="1" x14ac:dyDescent="0.25">
      <c r="A20" s="513" t="s">
        <v>492</v>
      </c>
      <c r="B20" s="514" t="s">
        <v>588</v>
      </c>
      <c r="C20" s="432" t="s">
        <v>13</v>
      </c>
      <c r="D20" s="34" t="s">
        <v>587</v>
      </c>
      <c r="E20" s="434"/>
      <c r="F20" s="240"/>
      <c r="G20" s="240"/>
      <c r="H20" s="237"/>
      <c r="I20" s="246"/>
      <c r="J20" s="432" t="s">
        <v>13</v>
      </c>
      <c r="K20" s="34" t="str">
        <f>D20</f>
        <v>Публичный показ музейных предметов, музейных коллекций</v>
      </c>
      <c r="L20" s="434"/>
      <c r="M20" s="245"/>
      <c r="N20" s="245"/>
      <c r="O20" s="237"/>
      <c r="P20" s="443"/>
      <c r="Q20" s="436"/>
      <c r="R20" s="432"/>
      <c r="S20" s="512" t="s">
        <v>15</v>
      </c>
      <c r="T20" s="268"/>
      <c r="U20" s="60"/>
    </row>
    <row r="21" spans="1:21" ht="82.5" customHeight="1" x14ac:dyDescent="0.25">
      <c r="A21" s="513"/>
      <c r="B21" s="514"/>
      <c r="C21" s="434" t="s">
        <v>16</v>
      </c>
      <c r="D21" s="440" t="s">
        <v>586</v>
      </c>
      <c r="E21" s="434" t="s">
        <v>216</v>
      </c>
      <c r="F21" s="259">
        <v>3050</v>
      </c>
      <c r="G21" s="259">
        <v>3119</v>
      </c>
      <c r="H21" s="435">
        <f>IF(G21/F21*100&gt;100,100,G21/F21*100)</f>
        <v>100</v>
      </c>
      <c r="I21" s="239"/>
      <c r="J21" s="434" t="s">
        <v>16</v>
      </c>
      <c r="K21" s="197" t="s">
        <v>585</v>
      </c>
      <c r="L21" s="197" t="s">
        <v>20</v>
      </c>
      <c r="M21" s="319">
        <v>60130</v>
      </c>
      <c r="N21" s="319">
        <v>61426</v>
      </c>
      <c r="O21" s="239">
        <f>IF(N21/M21*100&gt;110,110,N21/M21*100)</f>
        <v>102.15533011807749</v>
      </c>
      <c r="P21" s="273"/>
      <c r="Q21" s="246"/>
      <c r="R21" s="36"/>
      <c r="S21" s="512"/>
      <c r="T21" s="268"/>
      <c r="U21" s="60"/>
    </row>
    <row r="22" spans="1:21" ht="49.5" customHeight="1" x14ac:dyDescent="0.25">
      <c r="A22" s="513"/>
      <c r="B22" s="514"/>
      <c r="C22" s="434" t="s">
        <v>21</v>
      </c>
      <c r="D22" s="440" t="s">
        <v>502</v>
      </c>
      <c r="E22" s="434" t="s">
        <v>18</v>
      </c>
      <c r="F22" s="240" t="s">
        <v>556</v>
      </c>
      <c r="G22" s="442">
        <v>0</v>
      </c>
      <c r="H22" s="435">
        <v>100</v>
      </c>
      <c r="I22" s="274"/>
      <c r="J22" s="197"/>
      <c r="K22" s="197"/>
      <c r="L22" s="197"/>
      <c r="M22" s="197"/>
      <c r="N22" s="197"/>
      <c r="O22" s="239"/>
      <c r="P22" s="273"/>
      <c r="Q22" s="246"/>
      <c r="R22" s="36"/>
      <c r="S22" s="512"/>
      <c r="T22" s="268"/>
      <c r="U22" s="60"/>
    </row>
    <row r="23" spans="1:21" s="60" customFormat="1" ht="53.25" customHeight="1" x14ac:dyDescent="0.25">
      <c r="A23" s="513"/>
      <c r="B23" s="514"/>
      <c r="C23" s="20"/>
      <c r="D23" s="466" t="s">
        <v>644</v>
      </c>
      <c r="E23" s="20"/>
      <c r="F23" s="301"/>
      <c r="G23" s="302"/>
      <c r="H23" s="303"/>
      <c r="I23" s="86">
        <f>(H22+H21)/2</f>
        <v>100</v>
      </c>
      <c r="J23" s="447"/>
      <c r="K23" s="466" t="s">
        <v>644</v>
      </c>
      <c r="L23" s="447"/>
      <c r="M23" s="447"/>
      <c r="N23" s="447"/>
      <c r="O23" s="303"/>
      <c r="P23" s="18">
        <f>O21</f>
        <v>102.15533011807749</v>
      </c>
      <c r="Q23" s="18">
        <f>(I23+P23)/2</f>
        <v>101.07766505903874</v>
      </c>
      <c r="R23" s="447" t="s">
        <v>25</v>
      </c>
      <c r="S23" s="512"/>
      <c r="T23" s="268"/>
      <c r="U23" s="315"/>
    </row>
    <row r="24" spans="1:21" ht="75.75" customHeight="1" x14ac:dyDescent="0.25">
      <c r="A24" s="513"/>
      <c r="B24" s="514"/>
      <c r="C24" s="432" t="s">
        <v>26</v>
      </c>
      <c r="D24" s="34" t="s">
        <v>584</v>
      </c>
      <c r="E24" s="434"/>
      <c r="F24" s="259"/>
      <c r="G24" s="259"/>
      <c r="H24" s="237"/>
      <c r="I24" s="246"/>
      <c r="J24" s="432" t="str">
        <f>C24</f>
        <v>II</v>
      </c>
      <c r="K24" s="34" t="str">
        <f>D24</f>
        <v>Создание экспозиций (выставок) музеев, организация выездных выставок</v>
      </c>
      <c r="L24" s="434"/>
      <c r="M24" s="434"/>
      <c r="N24" s="434"/>
      <c r="O24" s="237"/>
      <c r="P24" s="246"/>
      <c r="Q24" s="436"/>
      <c r="R24" s="130"/>
      <c r="S24" s="512"/>
      <c r="T24" s="268"/>
      <c r="U24" s="60"/>
    </row>
    <row r="25" spans="1:21" ht="63.75" customHeight="1" x14ac:dyDescent="0.25">
      <c r="A25" s="513"/>
      <c r="B25" s="514"/>
      <c r="C25" s="434" t="s">
        <v>28</v>
      </c>
      <c r="D25" s="440" t="s">
        <v>583</v>
      </c>
      <c r="E25" s="434" t="s">
        <v>18</v>
      </c>
      <c r="F25" s="439">
        <f>105/104</f>
        <v>1.0096153846153846</v>
      </c>
      <c r="G25" s="439">
        <f>103/100</f>
        <v>1.03</v>
      </c>
      <c r="H25" s="435">
        <f>IF(G25/F25*100&gt;100,100,G25/F25*100)</f>
        <v>100</v>
      </c>
      <c r="I25" s="239"/>
      <c r="J25" s="434" t="str">
        <f>C25</f>
        <v>2.1.</v>
      </c>
      <c r="K25" s="440" t="s">
        <v>582</v>
      </c>
      <c r="L25" s="434" t="s">
        <v>216</v>
      </c>
      <c r="M25" s="242">
        <v>108</v>
      </c>
      <c r="N25" s="242">
        <v>108</v>
      </c>
      <c r="O25" s="435">
        <f>IF(N25/M25*100&gt;110,110,N25/M25*100)</f>
        <v>100</v>
      </c>
      <c r="P25" s="273"/>
      <c r="Q25" s="436"/>
      <c r="R25" s="432"/>
      <c r="S25" s="512"/>
      <c r="T25" s="268"/>
      <c r="U25" s="60"/>
    </row>
    <row r="26" spans="1:21" s="60" customFormat="1" ht="53.25" customHeight="1" x14ac:dyDescent="0.25">
      <c r="A26" s="513"/>
      <c r="B26" s="514"/>
      <c r="C26" s="20"/>
      <c r="D26" s="466" t="s">
        <v>644</v>
      </c>
      <c r="E26" s="20"/>
      <c r="F26" s="301"/>
      <c r="G26" s="302"/>
      <c r="H26" s="303"/>
      <c r="I26" s="86">
        <f>H25</f>
        <v>100</v>
      </c>
      <c r="J26" s="447"/>
      <c r="K26" s="466" t="s">
        <v>644</v>
      </c>
      <c r="L26" s="447"/>
      <c r="M26" s="447"/>
      <c r="N26" s="447"/>
      <c r="O26" s="303"/>
      <c r="P26" s="18">
        <f>O25</f>
        <v>100</v>
      </c>
      <c r="Q26" s="18">
        <f>(I26+P26)/2</f>
        <v>100</v>
      </c>
      <c r="R26" s="448" t="s">
        <v>25</v>
      </c>
      <c r="S26" s="512"/>
      <c r="T26" s="268"/>
      <c r="U26" s="315"/>
    </row>
    <row r="27" spans="1:21" ht="81.75" customHeight="1" x14ac:dyDescent="0.25">
      <c r="A27" s="513"/>
      <c r="B27" s="514"/>
      <c r="C27" s="432" t="s">
        <v>36</v>
      </c>
      <c r="D27" s="34" t="s">
        <v>581</v>
      </c>
      <c r="E27" s="434"/>
      <c r="F27" s="259"/>
      <c r="G27" s="259"/>
      <c r="H27" s="237"/>
      <c r="I27" s="246"/>
      <c r="J27" s="432" t="str">
        <f>C27</f>
        <v>III</v>
      </c>
      <c r="K27" s="34" t="str">
        <f>D27</f>
        <v>Осуществление реставрации и консервации музейных предметов, музейных коллекций</v>
      </c>
      <c r="L27" s="434"/>
      <c r="M27" s="434"/>
      <c r="N27" s="434"/>
      <c r="O27" s="237"/>
      <c r="P27" s="246"/>
      <c r="Q27" s="436"/>
      <c r="R27" s="432"/>
      <c r="S27" s="512"/>
      <c r="T27" s="268"/>
      <c r="U27" s="60"/>
    </row>
    <row r="28" spans="1:21" ht="103.5" customHeight="1" x14ac:dyDescent="0.25">
      <c r="A28" s="513"/>
      <c r="B28" s="514"/>
      <c r="C28" s="434" t="s">
        <v>38</v>
      </c>
      <c r="D28" s="440" t="s">
        <v>580</v>
      </c>
      <c r="E28" s="434" t="s">
        <v>18</v>
      </c>
      <c r="F28" s="442">
        <v>4.04</v>
      </c>
      <c r="G28" s="442">
        <v>4.07</v>
      </c>
      <c r="H28" s="435">
        <f>IF(G28/F28*100&gt;100,100,G28/F28*100)</f>
        <v>100</v>
      </c>
      <c r="I28" s="239"/>
      <c r="J28" s="434" t="str">
        <f>C28</f>
        <v>3.1.</v>
      </c>
      <c r="K28" s="440" t="s">
        <v>579</v>
      </c>
      <c r="L28" s="434" t="s">
        <v>216</v>
      </c>
      <c r="M28" s="242">
        <v>182</v>
      </c>
      <c r="N28" s="242">
        <v>182</v>
      </c>
      <c r="O28" s="435">
        <f>IF(N28/M28*100&gt;110,110,N28/M28*100)</f>
        <v>100</v>
      </c>
      <c r="P28" s="273"/>
      <c r="Q28" s="436"/>
      <c r="R28" s="432"/>
      <c r="S28" s="512"/>
      <c r="T28" s="268"/>
      <c r="U28" s="60"/>
    </row>
    <row r="29" spans="1:21" s="60" customFormat="1" ht="53.25" customHeight="1" x14ac:dyDescent="0.25">
      <c r="A29" s="513"/>
      <c r="B29" s="514"/>
      <c r="C29" s="20"/>
      <c r="D29" s="466" t="s">
        <v>644</v>
      </c>
      <c r="E29" s="20"/>
      <c r="F29" s="301"/>
      <c r="G29" s="302"/>
      <c r="H29" s="303"/>
      <c r="I29" s="86">
        <f>H28</f>
        <v>100</v>
      </c>
      <c r="J29" s="447"/>
      <c r="K29" s="466" t="s">
        <v>644</v>
      </c>
      <c r="L29" s="447"/>
      <c r="M29" s="447"/>
      <c r="N29" s="447"/>
      <c r="O29" s="303"/>
      <c r="P29" s="18">
        <f>O28</f>
        <v>100</v>
      </c>
      <c r="Q29" s="18">
        <f>(I29+P29)/2</f>
        <v>100</v>
      </c>
      <c r="R29" s="448" t="s">
        <v>25</v>
      </c>
      <c r="S29" s="512"/>
      <c r="T29" s="268"/>
      <c r="U29" s="315"/>
    </row>
    <row r="30" spans="1:21" ht="101.25" customHeight="1" x14ac:dyDescent="0.25">
      <c r="A30" s="513"/>
      <c r="B30" s="514"/>
      <c r="C30" s="432" t="s">
        <v>123</v>
      </c>
      <c r="D30" s="34" t="s">
        <v>578</v>
      </c>
      <c r="E30" s="434"/>
      <c r="F30" s="240"/>
      <c r="G30" s="240"/>
      <c r="H30" s="237"/>
      <c r="I30" s="246"/>
      <c r="J30" s="432" t="str">
        <f>C30</f>
        <v>IV</v>
      </c>
      <c r="K30" s="34" t="str">
        <f>D30</f>
        <v>Формирование, учет, изучение, обеспечение физического сохранения и безопасности музейных предметов, музейных коллекций</v>
      </c>
      <c r="L30" s="434"/>
      <c r="M30" s="245"/>
      <c r="N30" s="245"/>
      <c r="O30" s="237"/>
      <c r="P30" s="443"/>
      <c r="Q30" s="436"/>
      <c r="R30" s="130"/>
      <c r="S30" s="512"/>
      <c r="T30" s="268"/>
      <c r="U30" s="60"/>
    </row>
    <row r="31" spans="1:21" ht="79.5" customHeight="1" x14ac:dyDescent="0.25">
      <c r="A31" s="513"/>
      <c r="B31" s="514"/>
      <c r="C31" s="434" t="s">
        <v>124</v>
      </c>
      <c r="D31" s="440" t="s">
        <v>577</v>
      </c>
      <c r="E31" s="434" t="s">
        <v>18</v>
      </c>
      <c r="F31" s="439">
        <v>70</v>
      </c>
      <c r="G31" s="439">
        <v>71.599999999999994</v>
      </c>
      <c r="H31" s="435">
        <f>IF(G31/F31*100&gt;100,100,G31/F31*100)</f>
        <v>100</v>
      </c>
      <c r="I31" s="239"/>
      <c r="J31" s="434" t="str">
        <f>C31</f>
        <v>4.1.</v>
      </c>
      <c r="K31" s="440" t="s">
        <v>576</v>
      </c>
      <c r="L31" s="434" t="s">
        <v>216</v>
      </c>
      <c r="M31" s="242">
        <v>80257</v>
      </c>
      <c r="N31" s="242">
        <v>84493</v>
      </c>
      <c r="O31" s="435">
        <f>IF(N31/M31*100&gt;110,110,N31/M31*100)</f>
        <v>105.2780442827417</v>
      </c>
      <c r="P31" s="273"/>
      <c r="Q31" s="436"/>
      <c r="R31" s="432"/>
      <c r="S31" s="512"/>
      <c r="T31" s="268"/>
      <c r="U31" s="60"/>
    </row>
    <row r="32" spans="1:21" s="60" customFormat="1" ht="53.25" customHeight="1" x14ac:dyDescent="0.25">
      <c r="A32" s="513"/>
      <c r="B32" s="514"/>
      <c r="C32" s="20"/>
      <c r="D32" s="466" t="s">
        <v>644</v>
      </c>
      <c r="E32" s="20"/>
      <c r="F32" s="304"/>
      <c r="G32" s="304"/>
      <c r="H32" s="303"/>
      <c r="I32" s="86">
        <f>H31</f>
        <v>100</v>
      </c>
      <c r="J32" s="447"/>
      <c r="K32" s="466" t="s">
        <v>644</v>
      </c>
      <c r="L32" s="447"/>
      <c r="M32" s="447"/>
      <c r="N32" s="447"/>
      <c r="O32" s="303"/>
      <c r="P32" s="18">
        <f>O31</f>
        <v>105.2780442827417</v>
      </c>
      <c r="Q32" s="18">
        <f>(I32+P32)/2</f>
        <v>102.63902214137084</v>
      </c>
      <c r="R32" s="448" t="s">
        <v>25</v>
      </c>
      <c r="S32" s="512"/>
      <c r="T32" s="268"/>
    </row>
    <row r="33" spans="1:21" ht="39" customHeight="1" x14ac:dyDescent="0.25">
      <c r="A33" s="505" t="s">
        <v>476</v>
      </c>
      <c r="B33" s="508" t="s">
        <v>575</v>
      </c>
      <c r="C33" s="432" t="s">
        <v>13</v>
      </c>
      <c r="D33" s="34" t="s">
        <v>564</v>
      </c>
      <c r="E33" s="432"/>
      <c r="F33" s="264"/>
      <c r="G33" s="264"/>
      <c r="H33" s="237"/>
      <c r="I33" s="246"/>
      <c r="J33" s="432" t="s">
        <v>13</v>
      </c>
      <c r="K33" s="34" t="str">
        <f>D33</f>
        <v>Показ кинофильмов (услуга платная)</v>
      </c>
      <c r="L33" s="434"/>
      <c r="M33" s="245"/>
      <c r="N33" s="245"/>
      <c r="O33" s="237"/>
      <c r="P33" s="193"/>
      <c r="Q33" s="436"/>
      <c r="R33" s="432"/>
      <c r="S33" s="512" t="s">
        <v>104</v>
      </c>
      <c r="T33" s="268"/>
      <c r="U33" s="60"/>
    </row>
    <row r="34" spans="1:21" ht="35.25" customHeight="1" x14ac:dyDescent="0.25">
      <c r="A34" s="506"/>
      <c r="B34" s="535"/>
      <c r="C34" s="434" t="s">
        <v>16</v>
      </c>
      <c r="D34" s="440" t="s">
        <v>562</v>
      </c>
      <c r="E34" s="434" t="s">
        <v>18</v>
      </c>
      <c r="F34" s="439">
        <f>90456/5925/269*100</f>
        <v>5.6754035104230391</v>
      </c>
      <c r="G34" s="439">
        <f>(94229/5118/269)*100</f>
        <v>6.8443470163618167</v>
      </c>
      <c r="H34" s="435">
        <f>IF(G34/F34*100&gt;100,100,G34/F34*100)</f>
        <v>100</v>
      </c>
      <c r="I34" s="246"/>
      <c r="J34" s="434" t="s">
        <v>16</v>
      </c>
      <c r="K34" s="197" t="s">
        <v>561</v>
      </c>
      <c r="L34" s="197" t="s">
        <v>20</v>
      </c>
      <c r="M34" s="319">
        <v>90456</v>
      </c>
      <c r="N34" s="319">
        <v>94229</v>
      </c>
      <c r="O34" s="239">
        <f>IF(N34/M34*100&gt;110,110,N34/M34*100)</f>
        <v>104.17108870611125</v>
      </c>
      <c r="P34" s="193"/>
      <c r="Q34" s="246"/>
      <c r="R34" s="36"/>
      <c r="S34" s="512"/>
      <c r="T34" s="268"/>
      <c r="U34" s="60"/>
    </row>
    <row r="35" spans="1:21" s="229" customFormat="1" ht="74.25" customHeight="1" x14ac:dyDescent="0.25">
      <c r="A35" s="506"/>
      <c r="B35" s="535"/>
      <c r="C35" s="434" t="s">
        <v>21</v>
      </c>
      <c r="D35" s="440" t="s">
        <v>502</v>
      </c>
      <c r="E35" s="434" t="s">
        <v>18</v>
      </c>
      <c r="F35" s="240" t="s">
        <v>556</v>
      </c>
      <c r="G35" s="442">
        <v>0.05</v>
      </c>
      <c r="H35" s="435">
        <v>100</v>
      </c>
      <c r="I35" s="239"/>
      <c r="J35" s="432"/>
      <c r="K35" s="197"/>
      <c r="L35" s="197"/>
      <c r="M35" s="197"/>
      <c r="N35" s="197"/>
      <c r="O35" s="239"/>
      <c r="P35" s="193"/>
      <c r="Q35" s="246"/>
      <c r="R35" s="36"/>
      <c r="S35" s="512"/>
      <c r="T35" s="268"/>
      <c r="U35" s="268"/>
    </row>
    <row r="36" spans="1:21" s="60" customFormat="1" ht="53.25" customHeight="1" x14ac:dyDescent="0.25">
      <c r="A36" s="506"/>
      <c r="B36" s="535"/>
      <c r="C36" s="20"/>
      <c r="D36" s="466" t="s">
        <v>644</v>
      </c>
      <c r="E36" s="20"/>
      <c r="F36" s="301"/>
      <c r="G36" s="302"/>
      <c r="H36" s="303"/>
      <c r="I36" s="86">
        <f>(H35+H34)/2</f>
        <v>100</v>
      </c>
      <c r="J36" s="447"/>
      <c r="K36" s="466" t="s">
        <v>644</v>
      </c>
      <c r="L36" s="447"/>
      <c r="M36" s="447"/>
      <c r="N36" s="447"/>
      <c r="O36" s="303"/>
      <c r="P36" s="18">
        <f>O34</f>
        <v>104.17108870611125</v>
      </c>
      <c r="Q36" s="18">
        <f>(I36+P36)/2</f>
        <v>102.08554435305562</v>
      </c>
      <c r="R36" s="447" t="s">
        <v>25</v>
      </c>
      <c r="S36" s="512"/>
      <c r="T36" s="268"/>
      <c r="U36" s="315"/>
    </row>
    <row r="37" spans="1:21" s="229" customFormat="1" ht="74.25" customHeight="1" x14ac:dyDescent="0.25">
      <c r="A37" s="506"/>
      <c r="B37" s="535"/>
      <c r="C37" s="432" t="s">
        <v>26</v>
      </c>
      <c r="D37" s="34" t="s">
        <v>563</v>
      </c>
      <c r="E37" s="432"/>
      <c r="F37" s="240"/>
      <c r="G37" s="240"/>
      <c r="H37" s="237"/>
      <c r="I37" s="246"/>
      <c r="J37" s="432" t="str">
        <f>C37</f>
        <v>II</v>
      </c>
      <c r="K37" s="432" t="str">
        <f>D37</f>
        <v>Показ кинофильмов (услуга бесплатная)</v>
      </c>
      <c r="L37" s="434"/>
      <c r="M37" s="434"/>
      <c r="N37" s="434"/>
      <c r="O37" s="237"/>
      <c r="P37" s="246"/>
      <c r="Q37" s="436"/>
      <c r="R37" s="432"/>
      <c r="S37" s="512"/>
      <c r="T37" s="268"/>
      <c r="U37" s="268"/>
    </row>
    <row r="38" spans="1:21" s="229" customFormat="1" ht="16.5" customHeight="1" x14ac:dyDescent="0.25">
      <c r="A38" s="506"/>
      <c r="B38" s="535"/>
      <c r="C38" s="434" t="s">
        <v>28</v>
      </c>
      <c r="D38" s="440" t="s">
        <v>562</v>
      </c>
      <c r="E38" s="434" t="s">
        <v>18</v>
      </c>
      <c r="F38" s="255">
        <f>888/74/12*100</f>
        <v>100</v>
      </c>
      <c r="G38" s="255">
        <f>888/74/12*100</f>
        <v>100</v>
      </c>
      <c r="H38" s="435">
        <f>IF(G38/F38*100&gt;100,100,G38/F38*100)</f>
        <v>100</v>
      </c>
      <c r="I38" s="239"/>
      <c r="J38" s="434" t="str">
        <f>C38</f>
        <v>2.1.</v>
      </c>
      <c r="K38" s="520" t="s">
        <v>561</v>
      </c>
      <c r="L38" s="520" t="s">
        <v>20</v>
      </c>
      <c r="M38" s="538">
        <v>888</v>
      </c>
      <c r="N38" s="538">
        <v>888</v>
      </c>
      <c r="O38" s="539">
        <f>IF(N38/M38*100&gt;110,110,N38/M38*100)</f>
        <v>100</v>
      </c>
      <c r="P38" s="540"/>
      <c r="Q38" s="516"/>
      <c r="R38" s="514"/>
      <c r="S38" s="512"/>
      <c r="T38" s="268"/>
      <c r="U38" s="268"/>
    </row>
    <row r="39" spans="1:21" s="229" customFormat="1" ht="49.5" customHeight="1" x14ac:dyDescent="0.25">
      <c r="A39" s="506"/>
      <c r="B39" s="535"/>
      <c r="C39" s="434" t="s">
        <v>30</v>
      </c>
      <c r="D39" s="440" t="s">
        <v>502</v>
      </c>
      <c r="E39" s="434" t="s">
        <v>18</v>
      </c>
      <c r="F39" s="240" t="s">
        <v>556</v>
      </c>
      <c r="G39" s="442">
        <v>0.05</v>
      </c>
      <c r="H39" s="435">
        <v>100</v>
      </c>
      <c r="I39" s="239"/>
      <c r="J39" s="434"/>
      <c r="K39" s="520"/>
      <c r="L39" s="520"/>
      <c r="M39" s="538"/>
      <c r="N39" s="538"/>
      <c r="O39" s="539"/>
      <c r="P39" s="540"/>
      <c r="Q39" s="516"/>
      <c r="R39" s="514"/>
      <c r="S39" s="512"/>
      <c r="T39" s="268"/>
      <c r="U39" s="268"/>
    </row>
    <row r="40" spans="1:21" s="60" customFormat="1" ht="53.25" customHeight="1" x14ac:dyDescent="0.25">
      <c r="A40" s="506"/>
      <c r="B40" s="535"/>
      <c r="C40" s="20"/>
      <c r="D40" s="466" t="s">
        <v>644</v>
      </c>
      <c r="E40" s="20"/>
      <c r="F40" s="301"/>
      <c r="G40" s="302"/>
      <c r="H40" s="303"/>
      <c r="I40" s="86">
        <f>(H39+H38)/2</f>
        <v>100</v>
      </c>
      <c r="J40" s="447"/>
      <c r="K40" s="466" t="s">
        <v>644</v>
      </c>
      <c r="L40" s="447"/>
      <c r="M40" s="447"/>
      <c r="N40" s="447"/>
      <c r="O40" s="303"/>
      <c r="P40" s="18">
        <f>O38</f>
        <v>100</v>
      </c>
      <c r="Q40" s="18">
        <f>(I40+P40)/2</f>
        <v>100</v>
      </c>
      <c r="R40" s="447" t="s">
        <v>25</v>
      </c>
      <c r="S40" s="512"/>
      <c r="T40" s="268"/>
      <c r="U40" s="315"/>
    </row>
    <row r="41" spans="1:21" s="229" customFormat="1" ht="40.5" customHeight="1" x14ac:dyDescent="0.25">
      <c r="A41" s="506"/>
      <c r="B41" s="535"/>
      <c r="C41" s="432" t="s">
        <v>36</v>
      </c>
      <c r="D41" s="34" t="s">
        <v>554</v>
      </c>
      <c r="E41" s="432"/>
      <c r="F41" s="259"/>
      <c r="G41" s="259"/>
      <c r="H41" s="237"/>
      <c r="I41" s="246"/>
      <c r="J41" s="432" t="str">
        <f>C41</f>
        <v>III</v>
      </c>
      <c r="K41" s="34" t="str">
        <f>D41</f>
        <v>Организация деятельности клубных формирований</v>
      </c>
      <c r="L41" s="434"/>
      <c r="M41" s="434"/>
      <c r="N41" s="434"/>
      <c r="O41" s="237"/>
      <c r="P41" s="193"/>
      <c r="Q41" s="436"/>
      <c r="R41" s="432"/>
      <c r="S41" s="512"/>
      <c r="T41" s="268"/>
      <c r="U41" s="268"/>
    </row>
    <row r="42" spans="1:21" s="229" customFormat="1" ht="53.25" customHeight="1" x14ac:dyDescent="0.25">
      <c r="A42" s="506"/>
      <c r="B42" s="535"/>
      <c r="C42" s="517" t="s">
        <v>38</v>
      </c>
      <c r="D42" s="524" t="s">
        <v>574</v>
      </c>
      <c r="E42" s="520" t="s">
        <v>18</v>
      </c>
      <c r="F42" s="534">
        <f>33/33*100</f>
        <v>100</v>
      </c>
      <c r="G42" s="534">
        <f>33/33*100</f>
        <v>100</v>
      </c>
      <c r="H42" s="523">
        <f>IF(G42/F42*100&gt;100,100,G42/F42*100)</f>
        <v>100</v>
      </c>
      <c r="I42" s="516"/>
      <c r="J42" s="434" t="str">
        <f>C42</f>
        <v>3.1.</v>
      </c>
      <c r="K42" s="440" t="s">
        <v>552</v>
      </c>
      <c r="L42" s="434" t="s">
        <v>216</v>
      </c>
      <c r="M42" s="242">
        <v>1</v>
      </c>
      <c r="N42" s="242">
        <v>1</v>
      </c>
      <c r="O42" s="435">
        <f>IF(N42/M42*100&gt;110,110,N42/M42*100)</f>
        <v>100</v>
      </c>
      <c r="P42" s="193"/>
      <c r="Q42" s="436"/>
      <c r="R42" s="432"/>
      <c r="S42" s="512"/>
      <c r="T42" s="268"/>
      <c r="U42" s="268"/>
    </row>
    <row r="43" spans="1:21" s="229" customFormat="1" ht="53.25" customHeight="1" x14ac:dyDescent="0.25">
      <c r="A43" s="506"/>
      <c r="B43" s="535"/>
      <c r="C43" s="518"/>
      <c r="D43" s="525"/>
      <c r="E43" s="520"/>
      <c r="F43" s="534">
        <f>33/33*100</f>
        <v>100</v>
      </c>
      <c r="G43" s="534">
        <f>33/33*100</f>
        <v>100</v>
      </c>
      <c r="H43" s="523">
        <f>IF(G43/F43*100&gt;100,100,G43/F43*100)</f>
        <v>100</v>
      </c>
      <c r="I43" s="516"/>
      <c r="J43" s="272" t="s">
        <v>118</v>
      </c>
      <c r="K43" s="440" t="s">
        <v>573</v>
      </c>
      <c r="L43" s="434" t="s">
        <v>20</v>
      </c>
      <c r="M43" s="242">
        <v>33</v>
      </c>
      <c r="N43" s="242">
        <v>33</v>
      </c>
      <c r="O43" s="435">
        <f>IF(N43/M43*100&gt;110,110,N43/M43*100)</f>
        <v>100</v>
      </c>
      <c r="P43" s="193"/>
      <c r="Q43" s="436"/>
      <c r="R43" s="432"/>
      <c r="S43" s="512"/>
      <c r="T43" s="268"/>
      <c r="U43" s="268"/>
    </row>
    <row r="44" spans="1:21" s="60" customFormat="1" ht="53.25" customHeight="1" x14ac:dyDescent="0.25">
      <c r="A44" s="506"/>
      <c r="B44" s="535"/>
      <c r="C44" s="20"/>
      <c r="D44" s="466" t="s">
        <v>644</v>
      </c>
      <c r="E44" s="20"/>
      <c r="F44" s="301"/>
      <c r="G44" s="302"/>
      <c r="H44" s="303"/>
      <c r="I44" s="86">
        <f>H42</f>
        <v>100</v>
      </c>
      <c r="J44" s="447"/>
      <c r="K44" s="466" t="s">
        <v>644</v>
      </c>
      <c r="L44" s="447"/>
      <c r="M44" s="447"/>
      <c r="N44" s="447"/>
      <c r="O44" s="303"/>
      <c r="P44" s="18">
        <f>(O43+O42)/2</f>
        <v>100</v>
      </c>
      <c r="Q44" s="18">
        <f>(I44+P44)/2</f>
        <v>100</v>
      </c>
      <c r="R44" s="447" t="s">
        <v>25</v>
      </c>
      <c r="S44" s="512"/>
      <c r="T44" s="268"/>
      <c r="U44" s="315"/>
    </row>
    <row r="45" spans="1:21" s="229" customFormat="1" ht="53.25" customHeight="1" x14ac:dyDescent="0.25">
      <c r="A45" s="506"/>
      <c r="B45" s="535"/>
      <c r="C45" s="432" t="s">
        <v>123</v>
      </c>
      <c r="D45" s="34" t="s">
        <v>572</v>
      </c>
      <c r="E45" s="432"/>
      <c r="F45" s="264"/>
      <c r="G45" s="264"/>
      <c r="H45" s="237"/>
      <c r="I45" s="246"/>
      <c r="J45" s="432" t="str">
        <f>C45</f>
        <v>IV</v>
      </c>
      <c r="K45" s="34" t="str">
        <f>D45</f>
        <v>Работа по формированию и учету фондов фильмофонда</v>
      </c>
      <c r="L45" s="434"/>
      <c r="M45" s="434"/>
      <c r="N45" s="434"/>
      <c r="O45" s="237"/>
      <c r="P45" s="193"/>
      <c r="Q45" s="436"/>
      <c r="R45" s="130"/>
      <c r="S45" s="512"/>
      <c r="T45" s="268"/>
      <c r="U45" s="268"/>
    </row>
    <row r="46" spans="1:21" s="229" customFormat="1" ht="57.75" customHeight="1" x14ac:dyDescent="0.25">
      <c r="A46" s="506"/>
      <c r="B46" s="535"/>
      <c r="C46" s="434" t="s">
        <v>124</v>
      </c>
      <c r="D46" s="440" t="s">
        <v>571</v>
      </c>
      <c r="E46" s="434" t="s">
        <v>18</v>
      </c>
      <c r="F46" s="255">
        <f>38/3407*100</f>
        <v>1.1153507484590548</v>
      </c>
      <c r="G46" s="255">
        <f>38/3407*100</f>
        <v>1.1153507484590548</v>
      </c>
      <c r="H46" s="435">
        <f>IF(G46/F46*100&gt;100,100,G46/F46*100)</f>
        <v>100</v>
      </c>
      <c r="I46" s="239"/>
      <c r="J46" s="434" t="str">
        <f>C46</f>
        <v>4.1.</v>
      </c>
      <c r="K46" s="440" t="s">
        <v>570</v>
      </c>
      <c r="L46" s="434" t="s">
        <v>216</v>
      </c>
      <c r="M46" s="242">
        <v>3407</v>
      </c>
      <c r="N46" s="242">
        <v>3407</v>
      </c>
      <c r="O46" s="435">
        <f>IF(N46/M46*100&gt;110,110,N46/M46*100)</f>
        <v>100</v>
      </c>
      <c r="P46" s="193"/>
      <c r="Q46" s="436"/>
      <c r="R46" s="432"/>
      <c r="S46" s="512"/>
      <c r="T46" s="268"/>
      <c r="U46" s="268"/>
    </row>
    <row r="47" spans="1:21" s="60" customFormat="1" ht="53.25" customHeight="1" x14ac:dyDescent="0.25">
      <c r="A47" s="506"/>
      <c r="B47" s="535"/>
      <c r="C47" s="20"/>
      <c r="D47" s="466" t="s">
        <v>644</v>
      </c>
      <c r="E47" s="20"/>
      <c r="F47" s="301"/>
      <c r="G47" s="302"/>
      <c r="H47" s="303"/>
      <c r="I47" s="86">
        <f>H46</f>
        <v>100</v>
      </c>
      <c r="J47" s="447"/>
      <c r="K47" s="466" t="s">
        <v>644</v>
      </c>
      <c r="L47" s="447"/>
      <c r="M47" s="447"/>
      <c r="N47" s="447"/>
      <c r="O47" s="303"/>
      <c r="P47" s="18">
        <f>O46</f>
        <v>100</v>
      </c>
      <c r="Q47" s="18">
        <f>(I47+P47)/2</f>
        <v>100</v>
      </c>
      <c r="R47" s="448" t="s">
        <v>25</v>
      </c>
      <c r="S47" s="512"/>
      <c r="T47" s="268"/>
      <c r="U47" s="315"/>
    </row>
    <row r="48" spans="1:21" s="229" customFormat="1" ht="80.25" customHeight="1" x14ac:dyDescent="0.25">
      <c r="A48" s="506"/>
      <c r="B48" s="535"/>
      <c r="C48" s="432" t="s">
        <v>129</v>
      </c>
      <c r="D48" s="34" t="s">
        <v>549</v>
      </c>
      <c r="E48" s="432"/>
      <c r="F48" s="264"/>
      <c r="G48" s="264"/>
      <c r="H48" s="237"/>
      <c r="I48" s="246"/>
      <c r="J48" s="432" t="str">
        <f>C48</f>
        <v>V</v>
      </c>
      <c r="K48" s="34" t="str">
        <f>D48</f>
        <v>Организация и проведение культурно-массовых мероприятий творческих (фестиваль, выставка, конкурс, смотр )</v>
      </c>
      <c r="L48" s="434"/>
      <c r="M48" s="245"/>
      <c r="N48" s="245"/>
      <c r="O48" s="237"/>
      <c r="P48" s="193"/>
      <c r="Q48" s="436"/>
      <c r="R48" s="130"/>
      <c r="S48" s="512"/>
      <c r="T48" s="268"/>
      <c r="U48" s="268"/>
    </row>
    <row r="49" spans="1:21" s="229" customFormat="1" ht="35.25" customHeight="1" x14ac:dyDescent="0.25">
      <c r="A49" s="506"/>
      <c r="B49" s="535"/>
      <c r="C49" s="517" t="s">
        <v>131</v>
      </c>
      <c r="D49" s="524" t="s">
        <v>548</v>
      </c>
      <c r="E49" s="520" t="s">
        <v>216</v>
      </c>
      <c r="F49" s="537">
        <f>5/179655*1000</f>
        <v>2.7831120759232976E-2</v>
      </c>
      <c r="G49" s="537">
        <f>5/175073*1000</f>
        <v>2.8559515173670412E-2</v>
      </c>
      <c r="H49" s="523">
        <f>IF(G49/F49*100&gt;100,100,G49/F49*100)</f>
        <v>100</v>
      </c>
      <c r="I49" s="516"/>
      <c r="J49" s="434" t="s">
        <v>131</v>
      </c>
      <c r="K49" s="440" t="s">
        <v>213</v>
      </c>
      <c r="L49" s="434" t="s">
        <v>216</v>
      </c>
      <c r="M49" s="242">
        <v>5</v>
      </c>
      <c r="N49" s="242">
        <v>5</v>
      </c>
      <c r="O49" s="435">
        <f>IF(N49/M49*100&gt;110,110,N49/M49*100)</f>
        <v>100</v>
      </c>
      <c r="P49" s="193"/>
      <c r="Q49" s="436"/>
      <c r="R49" s="432"/>
      <c r="S49" s="512"/>
      <c r="T49" s="268"/>
      <c r="U49" s="268"/>
    </row>
    <row r="50" spans="1:21" s="229" customFormat="1" ht="46.5" customHeight="1" x14ac:dyDescent="0.25">
      <c r="A50" s="506"/>
      <c r="B50" s="535"/>
      <c r="C50" s="518"/>
      <c r="D50" s="525"/>
      <c r="E50" s="520"/>
      <c r="F50" s="537">
        <f>5/183865*1000</f>
        <v>2.7193865064041554E-2</v>
      </c>
      <c r="G50" s="537">
        <f>5/183865*1000</f>
        <v>2.7193865064041554E-2</v>
      </c>
      <c r="H50" s="523">
        <f>IF(G50/F50*100&gt;100,100,G50/F50*100)</f>
        <v>100</v>
      </c>
      <c r="I50" s="516"/>
      <c r="J50" s="434" t="s">
        <v>183</v>
      </c>
      <c r="K50" s="440" t="s">
        <v>398</v>
      </c>
      <c r="L50" s="434" t="s">
        <v>20</v>
      </c>
      <c r="M50" s="242">
        <v>1774</v>
      </c>
      <c r="N50" s="242">
        <v>1597</v>
      </c>
      <c r="O50" s="435">
        <f>IF(N50/M50*100&gt;110,110,N50/M50*100)</f>
        <v>90.022547914317926</v>
      </c>
      <c r="P50" s="193"/>
      <c r="Q50" s="436"/>
      <c r="R50" s="432"/>
      <c r="S50" s="512"/>
      <c r="T50" s="268"/>
      <c r="U50" s="268"/>
    </row>
    <row r="51" spans="1:21" s="60" customFormat="1" ht="53.25" customHeight="1" x14ac:dyDescent="0.25">
      <c r="A51" s="506"/>
      <c r="B51" s="535"/>
      <c r="C51" s="20"/>
      <c r="D51" s="466" t="s">
        <v>644</v>
      </c>
      <c r="E51" s="20"/>
      <c r="F51" s="301"/>
      <c r="G51" s="302"/>
      <c r="H51" s="303"/>
      <c r="I51" s="86">
        <f>H49</f>
        <v>100</v>
      </c>
      <c r="J51" s="447"/>
      <c r="K51" s="466" t="s">
        <v>644</v>
      </c>
      <c r="L51" s="447"/>
      <c r="M51" s="447"/>
      <c r="N51" s="447"/>
      <c r="O51" s="303"/>
      <c r="P51" s="18">
        <f>(O50+O49)/2</f>
        <v>95.011273957158963</v>
      </c>
      <c r="Q51" s="18">
        <f>(I51+P51)/2</f>
        <v>97.505636978579474</v>
      </c>
      <c r="R51" s="447" t="s">
        <v>112</v>
      </c>
      <c r="S51" s="512"/>
      <c r="T51" s="268"/>
      <c r="U51" s="315"/>
    </row>
    <row r="52" spans="1:21" s="229" customFormat="1" ht="94.5" customHeight="1" x14ac:dyDescent="0.25">
      <c r="A52" s="506"/>
      <c r="B52" s="535"/>
      <c r="C52" s="432" t="s">
        <v>140</v>
      </c>
      <c r="D52" s="34" t="s">
        <v>547</v>
      </c>
      <c r="E52" s="432"/>
      <c r="F52" s="264"/>
      <c r="G52" s="264"/>
      <c r="H52" s="237"/>
      <c r="I52" s="246"/>
      <c r="J52" s="432" t="str">
        <f>C52</f>
        <v>VI</v>
      </c>
      <c r="K52" s="34" t="str">
        <f>D52</f>
        <v>организация и проведение культурно-массовых мероприятий (иные зрелищные мероприятия)</v>
      </c>
      <c r="L52" s="434"/>
      <c r="M52" s="245"/>
      <c r="N52" s="245"/>
      <c r="O52" s="237"/>
      <c r="P52" s="193"/>
      <c r="Q52" s="436"/>
      <c r="R52" s="432"/>
      <c r="S52" s="512"/>
      <c r="T52" s="268"/>
      <c r="U52" s="268"/>
    </row>
    <row r="53" spans="1:21" s="229" customFormat="1" ht="48" customHeight="1" x14ac:dyDescent="0.25">
      <c r="A53" s="506"/>
      <c r="B53" s="535"/>
      <c r="C53" s="517" t="s">
        <v>142</v>
      </c>
      <c r="D53" s="519" t="s">
        <v>546</v>
      </c>
      <c r="E53" s="520" t="s">
        <v>216</v>
      </c>
      <c r="F53" s="526">
        <f>3/179655*1000</f>
        <v>1.6698672455539784E-2</v>
      </c>
      <c r="G53" s="526">
        <f>3/175073*1000</f>
        <v>1.7135709104202246E-2</v>
      </c>
      <c r="H53" s="523">
        <f>IF(G53/F53*100&gt;100,100,G53/F53*100)</f>
        <v>100</v>
      </c>
      <c r="I53" s="516"/>
      <c r="J53" s="434" t="str">
        <f>C53</f>
        <v>6.1.</v>
      </c>
      <c r="K53" s="440" t="s">
        <v>213</v>
      </c>
      <c r="L53" s="434" t="s">
        <v>216</v>
      </c>
      <c r="M53" s="258">
        <v>3</v>
      </c>
      <c r="N53" s="258">
        <v>4</v>
      </c>
      <c r="O53" s="435">
        <f>IF(N53/M53*100&gt;110,110,N53/M53*100)</f>
        <v>110</v>
      </c>
      <c r="P53" s="193"/>
      <c r="Q53" s="436"/>
      <c r="R53" s="432"/>
      <c r="S53" s="512"/>
      <c r="T53" s="268"/>
      <c r="U53" s="268"/>
    </row>
    <row r="54" spans="1:21" s="229" customFormat="1" ht="37.5" customHeight="1" x14ac:dyDescent="0.25">
      <c r="A54" s="506"/>
      <c r="B54" s="535"/>
      <c r="C54" s="518"/>
      <c r="D54" s="519"/>
      <c r="E54" s="520"/>
      <c r="F54" s="526">
        <f>3/183865*1000</f>
        <v>1.6316319038424933E-2</v>
      </c>
      <c r="G54" s="526">
        <f>3/183865*1000</f>
        <v>1.6316319038424933E-2</v>
      </c>
      <c r="H54" s="523">
        <f>IF(G54/F54*100&gt;100,100,G54/F54*100)</f>
        <v>100</v>
      </c>
      <c r="I54" s="516"/>
      <c r="J54" s="434" t="s">
        <v>188</v>
      </c>
      <c r="K54" s="440" t="s">
        <v>398</v>
      </c>
      <c r="L54" s="434" t="s">
        <v>20</v>
      </c>
      <c r="M54" s="258">
        <v>1450</v>
      </c>
      <c r="N54" s="258">
        <v>1310</v>
      </c>
      <c r="O54" s="435">
        <f>IF(N54/M54*100&gt;110,110,N54/M54*100)</f>
        <v>90.344827586206904</v>
      </c>
      <c r="P54" s="193"/>
      <c r="Q54" s="436"/>
      <c r="R54" s="432"/>
      <c r="S54" s="512"/>
      <c r="T54" s="268"/>
      <c r="U54" s="268"/>
    </row>
    <row r="55" spans="1:21" s="268" customFormat="1" ht="53.25" customHeight="1" x14ac:dyDescent="0.25">
      <c r="A55" s="507"/>
      <c r="B55" s="536"/>
      <c r="C55" s="20"/>
      <c r="D55" s="466" t="s">
        <v>644</v>
      </c>
      <c r="E55" s="20"/>
      <c r="F55" s="304"/>
      <c r="G55" s="304"/>
      <c r="H55" s="303"/>
      <c r="I55" s="86">
        <f>H53</f>
        <v>100</v>
      </c>
      <c r="J55" s="18"/>
      <c r="K55" s="466" t="s">
        <v>644</v>
      </c>
      <c r="L55" s="18"/>
      <c r="M55" s="18"/>
      <c r="N55" s="18"/>
      <c r="O55" s="303"/>
      <c r="P55" s="18">
        <f>(O54+O53)/2</f>
        <v>100.17241379310346</v>
      </c>
      <c r="Q55" s="18">
        <f>(I55+P55)/2</f>
        <v>100.08620689655173</v>
      </c>
      <c r="R55" s="448" t="s">
        <v>25</v>
      </c>
      <c r="S55" s="512"/>
    </row>
    <row r="56" spans="1:21" s="229" customFormat="1" ht="120.75" customHeight="1" x14ac:dyDescent="0.25">
      <c r="A56" s="505" t="s">
        <v>51</v>
      </c>
      <c r="B56" s="508" t="s">
        <v>569</v>
      </c>
      <c r="C56" s="432" t="s">
        <v>13</v>
      </c>
      <c r="D56" s="34" t="s">
        <v>560</v>
      </c>
      <c r="E56" s="434"/>
      <c r="F56" s="240"/>
      <c r="G56" s="240"/>
      <c r="H56" s="237"/>
      <c r="I56" s="246"/>
      <c r="J56" s="432" t="str">
        <f>C56</f>
        <v>I</v>
      </c>
      <c r="K56" s="34" t="str">
        <f>D56</f>
        <v>Организация и проведение мероприятий - Культурно-массовых (услуга платная)</v>
      </c>
      <c r="L56" s="434"/>
      <c r="M56" s="245"/>
      <c r="N56" s="245"/>
      <c r="O56" s="436"/>
      <c r="P56" s="246"/>
      <c r="Q56" s="436"/>
      <c r="R56" s="432"/>
      <c r="S56" s="512" t="s">
        <v>104</v>
      </c>
      <c r="T56" s="268"/>
      <c r="U56" s="268"/>
    </row>
    <row r="57" spans="1:21" ht="16.5" customHeight="1" x14ac:dyDescent="0.25">
      <c r="A57" s="506"/>
      <c r="B57" s="509"/>
      <c r="C57" s="434" t="s">
        <v>16</v>
      </c>
      <c r="D57" s="440" t="s">
        <v>559</v>
      </c>
      <c r="E57" s="434" t="s">
        <v>18</v>
      </c>
      <c r="F57" s="276">
        <f>((13700*100)/13700)</f>
        <v>100</v>
      </c>
      <c r="G57" s="276">
        <f>10959/10000*100</f>
        <v>109.59</v>
      </c>
      <c r="H57" s="435">
        <f>IF(G57/F57*100&gt;100,100,G57/F57*100)</f>
        <v>100</v>
      </c>
      <c r="I57" s="239"/>
      <c r="J57" s="434" t="s">
        <v>16</v>
      </c>
      <c r="K57" s="440" t="s">
        <v>558</v>
      </c>
      <c r="L57" s="434" t="s">
        <v>20</v>
      </c>
      <c r="M57" s="242">
        <v>10000</v>
      </c>
      <c r="N57" s="242">
        <v>10959</v>
      </c>
      <c r="O57" s="444">
        <f>IF(N57/M57*100&gt;110,110,N57/M57*100)</f>
        <v>109.59</v>
      </c>
      <c r="P57" s="246"/>
      <c r="Q57" s="436"/>
      <c r="R57" s="432"/>
      <c r="S57" s="512"/>
      <c r="T57" s="268"/>
      <c r="U57" s="60"/>
    </row>
    <row r="58" spans="1:21" ht="16.5" customHeight="1" x14ac:dyDescent="0.25">
      <c r="A58" s="506"/>
      <c r="B58" s="509"/>
      <c r="C58" s="434" t="s">
        <v>21</v>
      </c>
      <c r="D58" s="440" t="s">
        <v>557</v>
      </c>
      <c r="E58" s="434" t="s">
        <v>18</v>
      </c>
      <c r="F58" s="276">
        <f>((40*100/40))</f>
        <v>100</v>
      </c>
      <c r="G58" s="276">
        <f>37/38*100</f>
        <v>97.368421052631575</v>
      </c>
      <c r="H58" s="435">
        <f>IF(G58/F58*100&gt;100,100,G58/F58*100)</f>
        <v>97.368421052631575</v>
      </c>
      <c r="I58" s="239"/>
      <c r="J58" s="434" t="s">
        <v>21</v>
      </c>
      <c r="K58" s="440" t="s">
        <v>213</v>
      </c>
      <c r="L58" s="434" t="s">
        <v>216</v>
      </c>
      <c r="M58" s="242">
        <v>38</v>
      </c>
      <c r="N58" s="242">
        <v>37</v>
      </c>
      <c r="O58" s="444">
        <f>IF(N58/M58*100&gt;110,110,N58/M58*100)</f>
        <v>97.368421052631575</v>
      </c>
      <c r="P58" s="246"/>
      <c r="Q58" s="436"/>
      <c r="R58" s="432"/>
      <c r="S58" s="512"/>
      <c r="T58" s="268"/>
      <c r="U58" s="60"/>
    </row>
    <row r="59" spans="1:21" ht="69" customHeight="1" x14ac:dyDescent="0.25">
      <c r="A59" s="506"/>
      <c r="B59" s="509"/>
      <c r="C59" s="434" t="s">
        <v>23</v>
      </c>
      <c r="D59" s="440" t="s">
        <v>502</v>
      </c>
      <c r="E59" s="434" t="s">
        <v>18</v>
      </c>
      <c r="F59" s="240" t="s">
        <v>556</v>
      </c>
      <c r="G59" s="271">
        <v>0</v>
      </c>
      <c r="H59" s="435">
        <v>100</v>
      </c>
      <c r="I59" s="239"/>
      <c r="J59" s="434"/>
      <c r="K59" s="440"/>
      <c r="L59" s="434"/>
      <c r="M59" s="434"/>
      <c r="N59" s="434"/>
      <c r="O59" s="444"/>
      <c r="P59" s="246"/>
      <c r="Q59" s="436"/>
      <c r="R59" s="432"/>
      <c r="S59" s="512"/>
      <c r="T59" s="268"/>
      <c r="U59" s="60"/>
    </row>
    <row r="60" spans="1:21" s="60" customFormat="1" ht="53.25" customHeight="1" x14ac:dyDescent="0.25">
      <c r="A60" s="506"/>
      <c r="B60" s="509"/>
      <c r="C60" s="128"/>
      <c r="D60" s="466" t="s">
        <v>644</v>
      </c>
      <c r="E60" s="20"/>
      <c r="F60" s="305"/>
      <c r="G60" s="306"/>
      <c r="H60" s="303"/>
      <c r="I60" s="86">
        <f>(H57+H58+H59)/3</f>
        <v>99.122807017543849</v>
      </c>
      <c r="J60" s="20"/>
      <c r="K60" s="466" t="s">
        <v>644</v>
      </c>
      <c r="L60" s="20"/>
      <c r="M60" s="124"/>
      <c r="N60" s="124"/>
      <c r="O60" s="18"/>
      <c r="P60" s="18">
        <f>(O57+O58)/2</f>
        <v>103.4792105263158</v>
      </c>
      <c r="Q60" s="18">
        <f>(I60+P60)/2</f>
        <v>101.30100877192982</v>
      </c>
      <c r="R60" s="448" t="s">
        <v>25</v>
      </c>
      <c r="S60" s="512"/>
      <c r="T60" s="268"/>
      <c r="U60" s="315"/>
    </row>
    <row r="61" spans="1:21" ht="58.5" customHeight="1" x14ac:dyDescent="0.25">
      <c r="A61" s="506"/>
      <c r="B61" s="509"/>
      <c r="C61" s="432" t="s">
        <v>26</v>
      </c>
      <c r="D61" s="34" t="s">
        <v>554</v>
      </c>
      <c r="E61" s="434"/>
      <c r="F61" s="240"/>
      <c r="G61" s="240"/>
      <c r="H61" s="237"/>
      <c r="I61" s="246"/>
      <c r="J61" s="432" t="str">
        <f>C61</f>
        <v>II</v>
      </c>
      <c r="K61" s="34" t="str">
        <f>D61</f>
        <v>Организация деятельности клубных формирований</v>
      </c>
      <c r="L61" s="434"/>
      <c r="M61" s="434"/>
      <c r="N61" s="434"/>
      <c r="O61" s="246"/>
      <c r="P61" s="246"/>
      <c r="Q61" s="436"/>
      <c r="R61" s="432"/>
      <c r="S61" s="512"/>
      <c r="T61" s="268"/>
      <c r="U61" s="60"/>
    </row>
    <row r="62" spans="1:21" ht="49.5" customHeight="1" x14ac:dyDescent="0.25">
      <c r="A62" s="506"/>
      <c r="B62" s="509"/>
      <c r="C62" s="434" t="s">
        <v>28</v>
      </c>
      <c r="D62" s="440" t="s">
        <v>553</v>
      </c>
      <c r="E62" s="434" t="s">
        <v>18</v>
      </c>
      <c r="F62" s="439">
        <f>1200/1200*100</f>
        <v>100</v>
      </c>
      <c r="G62" s="439">
        <f>1123/1200*100</f>
        <v>93.583333333333329</v>
      </c>
      <c r="H62" s="435">
        <f>IF(G62/F62*100&gt;100,100,G62/F62*100)</f>
        <v>93.583333333333329</v>
      </c>
      <c r="I62" s="246"/>
      <c r="J62" s="434" t="str">
        <f>C62</f>
        <v>2.1.</v>
      </c>
      <c r="K62" s="440" t="s">
        <v>552</v>
      </c>
      <c r="L62" s="434" t="s">
        <v>216</v>
      </c>
      <c r="M62" s="242">
        <v>35</v>
      </c>
      <c r="N62" s="242">
        <v>34</v>
      </c>
      <c r="O62" s="444">
        <f>IF(N62/M62*100&gt;110,110,N62/M62*100)</f>
        <v>97.142857142857139</v>
      </c>
      <c r="P62" s="246"/>
      <c r="Q62" s="436"/>
      <c r="R62" s="432"/>
      <c r="S62" s="512"/>
      <c r="T62" s="268"/>
      <c r="U62" s="60"/>
    </row>
    <row r="63" spans="1:21" ht="90.75" customHeight="1" x14ac:dyDescent="0.25">
      <c r="A63" s="506"/>
      <c r="B63" s="509"/>
      <c r="C63" s="434" t="s">
        <v>30</v>
      </c>
      <c r="D63" s="440" t="s">
        <v>551</v>
      </c>
      <c r="E63" s="434" t="s">
        <v>18</v>
      </c>
      <c r="F63" s="260">
        <f>8/33*100</f>
        <v>24.242424242424242</v>
      </c>
      <c r="G63" s="439">
        <f>8/34*100</f>
        <v>23.52941176470588</v>
      </c>
      <c r="H63" s="435">
        <f>IF(G63/F63*100&gt;100,100,G63/F63*100)</f>
        <v>97.058823529411754</v>
      </c>
      <c r="I63" s="246"/>
      <c r="J63" s="434" t="s">
        <v>30</v>
      </c>
      <c r="K63" s="440" t="s">
        <v>550</v>
      </c>
      <c r="L63" s="434" t="s">
        <v>20</v>
      </c>
      <c r="M63" s="242">
        <v>1200</v>
      </c>
      <c r="N63" s="242">
        <v>1123</v>
      </c>
      <c r="O63" s="444">
        <f>IF(N63/M63*100&gt;110,110,N63/M63*100)</f>
        <v>93.583333333333329</v>
      </c>
      <c r="P63" s="246"/>
      <c r="Q63" s="436"/>
      <c r="R63" s="432"/>
      <c r="S63" s="512"/>
      <c r="T63" s="268"/>
      <c r="U63" s="60"/>
    </row>
    <row r="64" spans="1:21" s="60" customFormat="1" ht="53.25" customHeight="1" x14ac:dyDescent="0.25">
      <c r="A64" s="506"/>
      <c r="B64" s="509"/>
      <c r="C64" s="20"/>
      <c r="D64" s="466" t="s">
        <v>644</v>
      </c>
      <c r="E64" s="20"/>
      <c r="F64" s="301"/>
      <c r="G64" s="302"/>
      <c r="H64" s="303"/>
      <c r="I64" s="86">
        <f>(H63+H62)/2</f>
        <v>95.321078431372541</v>
      </c>
      <c r="J64" s="447"/>
      <c r="K64" s="466" t="s">
        <v>644</v>
      </c>
      <c r="L64" s="447"/>
      <c r="M64" s="124"/>
      <c r="N64" s="124"/>
      <c r="O64" s="18"/>
      <c r="P64" s="18">
        <f>(O62+O63)/2</f>
        <v>95.363095238095241</v>
      </c>
      <c r="Q64" s="18">
        <f>(I64+P64)/2</f>
        <v>95.342086834733891</v>
      </c>
      <c r="R64" s="448" t="s">
        <v>112</v>
      </c>
      <c r="S64" s="512"/>
      <c r="T64" s="268"/>
      <c r="U64" s="315"/>
    </row>
    <row r="65" spans="1:21" ht="82.5" customHeight="1" x14ac:dyDescent="0.25">
      <c r="A65" s="506"/>
      <c r="B65" s="509"/>
      <c r="C65" s="432" t="s">
        <v>36</v>
      </c>
      <c r="D65" s="34" t="s">
        <v>549</v>
      </c>
      <c r="E65" s="434"/>
      <c r="F65" s="259"/>
      <c r="G65" s="259"/>
      <c r="H65" s="237"/>
      <c r="I65" s="246"/>
      <c r="J65" s="432" t="str">
        <f>C65</f>
        <v>III</v>
      </c>
      <c r="K65" s="34" t="s">
        <v>549</v>
      </c>
      <c r="L65" s="434"/>
      <c r="M65" s="242"/>
      <c r="N65" s="242"/>
      <c r="O65" s="436"/>
      <c r="P65" s="246"/>
      <c r="Q65" s="436"/>
      <c r="R65" s="432"/>
      <c r="S65" s="512"/>
      <c r="T65" s="268"/>
      <c r="U65" s="60"/>
    </row>
    <row r="66" spans="1:21" ht="42" customHeight="1" x14ac:dyDescent="0.25">
      <c r="A66" s="506"/>
      <c r="B66" s="509"/>
      <c r="C66" s="517" t="s">
        <v>38</v>
      </c>
      <c r="D66" s="524" t="s">
        <v>548</v>
      </c>
      <c r="E66" s="517" t="s">
        <v>20</v>
      </c>
      <c r="F66" s="528">
        <f>(19+39)/175075*1000</f>
        <v>0.33128659146080253</v>
      </c>
      <c r="G66" s="528">
        <f>49/179665*1000</f>
        <v>0.27272980268833663</v>
      </c>
      <c r="H66" s="530">
        <f>IF(G66/F66*100&gt;100,100,G66/F66*100)</f>
        <v>82.324431389069886</v>
      </c>
      <c r="I66" s="532"/>
      <c r="J66" s="434" t="s">
        <v>38</v>
      </c>
      <c r="K66" s="440" t="s">
        <v>213</v>
      </c>
      <c r="L66" s="434" t="s">
        <v>216</v>
      </c>
      <c r="M66" s="242">
        <v>49</v>
      </c>
      <c r="N66" s="242">
        <v>49</v>
      </c>
      <c r="O66" s="444">
        <f>IF(N66/M66*100&gt;110,110,N66/M66*100)</f>
        <v>100</v>
      </c>
      <c r="P66" s="239"/>
      <c r="Q66" s="444"/>
      <c r="R66" s="432"/>
      <c r="S66" s="512"/>
      <c r="T66" s="268"/>
      <c r="U66" s="60"/>
    </row>
    <row r="67" spans="1:21" ht="51.75" customHeight="1" x14ac:dyDescent="0.25">
      <c r="A67" s="506"/>
      <c r="B67" s="509"/>
      <c r="C67" s="527"/>
      <c r="D67" s="525"/>
      <c r="E67" s="518"/>
      <c r="F67" s="529">
        <f>(38)/183865*1000</f>
        <v>0.2066733744867158</v>
      </c>
      <c r="G67" s="529">
        <f>38/183865*1000</f>
        <v>0.2066733744867158</v>
      </c>
      <c r="H67" s="531">
        <f>IF(G67/F67*100&gt;100,100,G67/F67*100)</f>
        <v>100</v>
      </c>
      <c r="I67" s="533"/>
      <c r="J67" s="434" t="s">
        <v>118</v>
      </c>
      <c r="K67" s="440" t="s">
        <v>545</v>
      </c>
      <c r="L67" s="434" t="s">
        <v>20</v>
      </c>
      <c r="M67" s="242">
        <v>45500</v>
      </c>
      <c r="N67" s="242">
        <v>49495</v>
      </c>
      <c r="O67" s="444">
        <f>IF(N67/M67*100&gt;110,110,N67/M67*100)</f>
        <v>108.7802197802198</v>
      </c>
      <c r="P67" s="246"/>
      <c r="Q67" s="436"/>
      <c r="R67" s="432"/>
      <c r="S67" s="512"/>
      <c r="T67" s="268"/>
      <c r="U67" s="60"/>
    </row>
    <row r="68" spans="1:21" s="60" customFormat="1" ht="53.25" customHeight="1" x14ac:dyDescent="0.25">
      <c r="A68" s="506"/>
      <c r="B68" s="509"/>
      <c r="C68" s="20"/>
      <c r="D68" s="466" t="s">
        <v>644</v>
      </c>
      <c r="E68" s="20"/>
      <c r="F68" s="301"/>
      <c r="G68" s="302"/>
      <c r="H68" s="303"/>
      <c r="I68" s="86">
        <f>H66</f>
        <v>82.324431389069886</v>
      </c>
      <c r="J68" s="447"/>
      <c r="K68" s="466" t="s">
        <v>644</v>
      </c>
      <c r="L68" s="447"/>
      <c r="M68" s="124"/>
      <c r="N68" s="124"/>
      <c r="O68" s="18"/>
      <c r="P68" s="18">
        <f>(O66+O67)/2</f>
        <v>104.3901098901099</v>
      </c>
      <c r="Q68" s="18">
        <f>(I68+P68)/2</f>
        <v>93.357270639589899</v>
      </c>
      <c r="R68" s="448" t="s">
        <v>112</v>
      </c>
      <c r="S68" s="512"/>
      <c r="T68" s="268"/>
      <c r="U68" s="315"/>
    </row>
    <row r="69" spans="1:21" ht="66" customHeight="1" x14ac:dyDescent="0.25">
      <c r="A69" s="506"/>
      <c r="B69" s="509"/>
      <c r="C69" s="432" t="s">
        <v>123</v>
      </c>
      <c r="D69" s="34" t="s">
        <v>547</v>
      </c>
      <c r="E69" s="432"/>
      <c r="F69" s="259"/>
      <c r="G69" s="259"/>
      <c r="H69" s="237"/>
      <c r="I69" s="246"/>
      <c r="J69" s="432" t="str">
        <f>C69</f>
        <v>IV</v>
      </c>
      <c r="K69" s="34" t="str">
        <f>D69</f>
        <v>организация и проведение культурно-массовых мероприятий (иные зрелищные мероприятия)</v>
      </c>
      <c r="L69" s="434"/>
      <c r="M69" s="242"/>
      <c r="N69" s="242"/>
      <c r="O69" s="436"/>
      <c r="P69" s="246"/>
      <c r="Q69" s="436"/>
      <c r="R69" s="432"/>
      <c r="S69" s="512"/>
      <c r="T69" s="268"/>
      <c r="U69" s="60"/>
    </row>
    <row r="70" spans="1:21" s="270" customFormat="1" ht="43.5" customHeight="1" x14ac:dyDescent="0.25">
      <c r="A70" s="506"/>
      <c r="B70" s="509"/>
      <c r="C70" s="517" t="s">
        <v>124</v>
      </c>
      <c r="D70" s="524" t="s">
        <v>546</v>
      </c>
      <c r="E70" s="517" t="s">
        <v>216</v>
      </c>
      <c r="F70" s="521">
        <f>178/179665*1000</f>
        <v>0.99073275262293714</v>
      </c>
      <c r="G70" s="521">
        <f>194/179665*1000</f>
        <v>1.0797873820721899</v>
      </c>
      <c r="H70" s="530">
        <f>IF(G70/F70*100&gt;100,100,G70/F70*100)</f>
        <v>100</v>
      </c>
      <c r="I70" s="532"/>
      <c r="J70" s="434" t="str">
        <f>C70</f>
        <v>4.1.</v>
      </c>
      <c r="K70" s="440" t="s">
        <v>213</v>
      </c>
      <c r="L70" s="434" t="s">
        <v>216</v>
      </c>
      <c r="M70" s="242">
        <v>178</v>
      </c>
      <c r="N70" s="242">
        <v>194</v>
      </c>
      <c r="O70" s="444">
        <f>IF(N70/M70*100&gt;110,110,N70/M70*100)</f>
        <v>108.98876404494382</v>
      </c>
      <c r="P70" s="239"/>
      <c r="Q70" s="444"/>
      <c r="R70" s="432"/>
      <c r="S70" s="512"/>
      <c r="T70" s="268"/>
      <c r="U70" s="317"/>
    </row>
    <row r="71" spans="1:21" s="270" customFormat="1" ht="38.25" customHeight="1" x14ac:dyDescent="0.25">
      <c r="A71" s="506"/>
      <c r="B71" s="509"/>
      <c r="C71" s="518"/>
      <c r="D71" s="525"/>
      <c r="E71" s="518"/>
      <c r="F71" s="522">
        <f>151/183865*1000</f>
        <v>0.82125472493405482</v>
      </c>
      <c r="G71" s="522">
        <f>151/183865*1000</f>
        <v>0.82125472493405482</v>
      </c>
      <c r="H71" s="531">
        <f>IF(G71/F71*100&gt;100,100,G71/F71*100)</f>
        <v>100</v>
      </c>
      <c r="I71" s="533"/>
      <c r="J71" s="434" t="s">
        <v>127</v>
      </c>
      <c r="K71" s="434" t="s">
        <v>545</v>
      </c>
      <c r="L71" s="434" t="s">
        <v>20</v>
      </c>
      <c r="M71" s="242">
        <v>94500</v>
      </c>
      <c r="N71" s="242">
        <v>93458</v>
      </c>
      <c r="O71" s="444">
        <f>IF(N71/M71*100&gt;110,110,N71/M71*100)</f>
        <v>98.897354497354499</v>
      </c>
      <c r="P71" s="246"/>
      <c r="Q71" s="436"/>
      <c r="R71" s="432"/>
      <c r="S71" s="512"/>
      <c r="T71" s="268"/>
      <c r="U71" s="317"/>
    </row>
    <row r="72" spans="1:21" s="60" customFormat="1" ht="53.25" customHeight="1" x14ac:dyDescent="0.25">
      <c r="A72" s="507"/>
      <c r="B72" s="510"/>
      <c r="C72" s="257"/>
      <c r="D72" s="466" t="s">
        <v>644</v>
      </c>
      <c r="E72" s="257"/>
      <c r="F72" s="307"/>
      <c r="G72" s="307"/>
      <c r="H72" s="308"/>
      <c r="I72" s="330">
        <f>H70</f>
        <v>100</v>
      </c>
      <c r="J72" s="18"/>
      <c r="K72" s="466" t="s">
        <v>644</v>
      </c>
      <c r="L72" s="18"/>
      <c r="M72" s="18"/>
      <c r="N72" s="18"/>
      <c r="O72" s="18"/>
      <c r="P72" s="18">
        <f>(O70+O71)/2</f>
        <v>103.94305927114917</v>
      </c>
      <c r="Q72" s="18">
        <f>(I72+P72)/2</f>
        <v>101.97152963557458</v>
      </c>
      <c r="R72" s="447" t="s">
        <v>25</v>
      </c>
      <c r="S72" s="512"/>
      <c r="T72" s="268"/>
    </row>
    <row r="73" spans="1:21" ht="40.5" customHeight="1" x14ac:dyDescent="0.25">
      <c r="A73" s="505" t="s">
        <v>54</v>
      </c>
      <c r="B73" s="508" t="s">
        <v>568</v>
      </c>
      <c r="C73" s="433" t="s">
        <v>13</v>
      </c>
      <c r="D73" s="34" t="s">
        <v>564</v>
      </c>
      <c r="E73" s="432"/>
      <c r="F73" s="264"/>
      <c r="G73" s="264"/>
      <c r="H73" s="237"/>
      <c r="I73" s="246"/>
      <c r="J73" s="432" t="str">
        <f>C73</f>
        <v>I</v>
      </c>
      <c r="K73" s="34" t="str">
        <f>D73</f>
        <v>Показ кинофильмов (услуга платная)</v>
      </c>
      <c r="L73" s="434"/>
      <c r="M73" s="245"/>
      <c r="N73" s="245"/>
      <c r="O73" s="436"/>
      <c r="P73" s="193"/>
      <c r="Q73" s="246"/>
      <c r="R73" s="432"/>
      <c r="S73" s="512" t="s">
        <v>15</v>
      </c>
      <c r="T73" s="268"/>
      <c r="U73" s="60"/>
    </row>
    <row r="74" spans="1:21" ht="40.5" customHeight="1" x14ac:dyDescent="0.25">
      <c r="A74" s="506"/>
      <c r="B74" s="509"/>
      <c r="C74" s="434" t="s">
        <v>16</v>
      </c>
      <c r="D74" s="440" t="s">
        <v>562</v>
      </c>
      <c r="E74" s="434" t="s">
        <v>18</v>
      </c>
      <c r="F74" s="439">
        <f>(51293/1800/250)*100</f>
        <v>11.398444444444443</v>
      </c>
      <c r="G74" s="439">
        <f>(51639/1664/250)*100</f>
        <v>12.413221153846154</v>
      </c>
      <c r="H74" s="435">
        <f>IF(G74/F74*100&gt;100,100,G74/F74*100)</f>
        <v>100</v>
      </c>
      <c r="I74" s="246"/>
      <c r="J74" s="434" t="s">
        <v>16</v>
      </c>
      <c r="K74" s="197" t="s">
        <v>561</v>
      </c>
      <c r="L74" s="197" t="s">
        <v>20</v>
      </c>
      <c r="M74" s="319">
        <v>51293</v>
      </c>
      <c r="N74" s="319">
        <v>51639</v>
      </c>
      <c r="O74" s="239">
        <f>IF(N74/M74*100&gt;110,110,N74/M74*100)</f>
        <v>100.67455598229778</v>
      </c>
      <c r="P74" s="193"/>
      <c r="Q74" s="246"/>
      <c r="R74" s="36"/>
      <c r="S74" s="512"/>
      <c r="T74" s="268"/>
      <c r="U74" s="60"/>
    </row>
    <row r="75" spans="1:21" ht="70.5" customHeight="1" x14ac:dyDescent="0.25">
      <c r="A75" s="506"/>
      <c r="B75" s="509"/>
      <c r="C75" s="434" t="s">
        <v>21</v>
      </c>
      <c r="D75" s="440" t="s">
        <v>502</v>
      </c>
      <c r="E75" s="434" t="s">
        <v>18</v>
      </c>
      <c r="F75" s="240" t="s">
        <v>556</v>
      </c>
      <c r="G75" s="269" t="s">
        <v>567</v>
      </c>
      <c r="H75" s="435">
        <v>100</v>
      </c>
      <c r="I75" s="239"/>
      <c r="J75" s="197"/>
      <c r="K75" s="197"/>
      <c r="L75" s="197"/>
      <c r="M75" s="319"/>
      <c r="N75" s="319"/>
      <c r="O75" s="239"/>
      <c r="P75" s="193"/>
      <c r="Q75" s="246"/>
      <c r="R75" s="36"/>
      <c r="S75" s="512"/>
      <c r="T75" s="268"/>
      <c r="U75" s="60"/>
    </row>
    <row r="76" spans="1:21" s="60" customFormat="1" ht="53.25" customHeight="1" x14ac:dyDescent="0.25">
      <c r="A76" s="506"/>
      <c r="B76" s="509"/>
      <c r="C76" s="20"/>
      <c r="D76" s="466" t="s">
        <v>644</v>
      </c>
      <c r="E76" s="20"/>
      <c r="F76" s="301"/>
      <c r="G76" s="302"/>
      <c r="H76" s="303"/>
      <c r="I76" s="86">
        <f>(H75+H74)/2</f>
        <v>100</v>
      </c>
      <c r="J76" s="447"/>
      <c r="K76" s="466" t="s">
        <v>644</v>
      </c>
      <c r="L76" s="447"/>
      <c r="M76" s="309"/>
      <c r="N76" s="309"/>
      <c r="O76" s="18"/>
      <c r="P76" s="18">
        <f>O74</f>
        <v>100.67455598229778</v>
      </c>
      <c r="Q76" s="18">
        <f>(I76+P76)/2</f>
        <v>100.33727799114888</v>
      </c>
      <c r="R76" s="447" t="s">
        <v>25</v>
      </c>
      <c r="S76" s="512"/>
      <c r="T76" s="268"/>
      <c r="U76" s="315"/>
    </row>
    <row r="77" spans="1:21" s="229" customFormat="1" ht="40.5" customHeight="1" x14ac:dyDescent="0.25">
      <c r="A77" s="506"/>
      <c r="B77" s="509"/>
      <c r="C77" s="433" t="s">
        <v>26</v>
      </c>
      <c r="D77" s="34" t="s">
        <v>563</v>
      </c>
      <c r="E77" s="432"/>
      <c r="F77" s="264"/>
      <c r="G77" s="264"/>
      <c r="H77" s="237"/>
      <c r="I77" s="246"/>
      <c r="J77" s="432" t="str">
        <f>C77</f>
        <v>II</v>
      </c>
      <c r="K77" s="34" t="str">
        <f>D77</f>
        <v>Показ кинофильмов (услуга бесплатная)</v>
      </c>
      <c r="L77" s="434"/>
      <c r="M77" s="258"/>
      <c r="N77" s="258"/>
      <c r="O77" s="436"/>
      <c r="P77" s="193"/>
      <c r="Q77" s="246"/>
      <c r="R77" s="432"/>
      <c r="S77" s="512"/>
      <c r="T77" s="268"/>
      <c r="U77" s="268"/>
    </row>
    <row r="78" spans="1:21" s="229" customFormat="1" ht="40.5" customHeight="1" x14ac:dyDescent="0.25">
      <c r="A78" s="506"/>
      <c r="B78" s="509"/>
      <c r="C78" s="434" t="s">
        <v>28</v>
      </c>
      <c r="D78" s="440" t="s">
        <v>562</v>
      </c>
      <c r="E78" s="434" t="s">
        <v>18</v>
      </c>
      <c r="F78" s="439">
        <f>(2250/23/250)*100</f>
        <v>39.130434782608688</v>
      </c>
      <c r="G78" s="439">
        <f>(2400/25/250)*100</f>
        <v>38.4</v>
      </c>
      <c r="H78" s="435">
        <f>IF(G78/F78*100&gt;100,100,G78/F78*100)</f>
        <v>98.133333333333354</v>
      </c>
      <c r="I78" s="246"/>
      <c r="J78" s="434" t="str">
        <f>C78</f>
        <v>2.1.</v>
      </c>
      <c r="K78" s="440" t="s">
        <v>561</v>
      </c>
      <c r="L78" s="434" t="s">
        <v>20</v>
      </c>
      <c r="M78" s="242">
        <v>2250</v>
      </c>
      <c r="N78" s="242">
        <v>2400</v>
      </c>
      <c r="O78" s="444">
        <f>IF(N78/M78*100&gt;110,110,N78/M78*100)</f>
        <v>106.66666666666667</v>
      </c>
      <c r="P78" s="443"/>
      <c r="Q78" s="267"/>
      <c r="R78" s="432"/>
      <c r="S78" s="512"/>
      <c r="T78" s="268"/>
      <c r="U78" s="268"/>
    </row>
    <row r="79" spans="1:21" s="60" customFormat="1" ht="53.25" customHeight="1" x14ac:dyDescent="0.25">
      <c r="A79" s="506"/>
      <c r="B79" s="509"/>
      <c r="C79" s="257"/>
      <c r="D79" s="466" t="s">
        <v>644</v>
      </c>
      <c r="E79" s="257"/>
      <c r="F79" s="307"/>
      <c r="G79" s="307"/>
      <c r="H79" s="308"/>
      <c r="I79" s="330">
        <f>H78</f>
        <v>98.133333333333354</v>
      </c>
      <c r="J79" s="18"/>
      <c r="K79" s="466" t="s">
        <v>644</v>
      </c>
      <c r="L79" s="18"/>
      <c r="M79" s="18"/>
      <c r="N79" s="18"/>
      <c r="O79" s="18"/>
      <c r="P79" s="18">
        <f>O78</f>
        <v>106.66666666666667</v>
      </c>
      <c r="Q79" s="18">
        <f>(I79+P79)/2</f>
        <v>102.4</v>
      </c>
      <c r="R79" s="447" t="s">
        <v>25</v>
      </c>
      <c r="S79" s="512"/>
      <c r="T79" s="268"/>
    </row>
    <row r="80" spans="1:21" s="229" customFormat="1" ht="81" customHeight="1" x14ac:dyDescent="0.25">
      <c r="A80" s="506"/>
      <c r="B80" s="509"/>
      <c r="C80" s="432" t="s">
        <v>36</v>
      </c>
      <c r="D80" s="34" t="s">
        <v>560</v>
      </c>
      <c r="E80" s="434"/>
      <c r="F80" s="240"/>
      <c r="G80" s="240"/>
      <c r="H80" s="237"/>
      <c r="I80" s="246"/>
      <c r="J80" s="432" t="str">
        <f>C80</f>
        <v>III</v>
      </c>
      <c r="K80" s="34" t="str">
        <f>D80</f>
        <v>Организация и проведение мероприятий - Культурно-массовых (услуга платная)</v>
      </c>
      <c r="L80" s="434"/>
      <c r="M80" s="245"/>
      <c r="N80" s="245"/>
      <c r="O80" s="436"/>
      <c r="P80" s="246"/>
      <c r="Q80" s="266"/>
      <c r="R80" s="432"/>
      <c r="S80" s="512"/>
      <c r="T80" s="268"/>
      <c r="U80" s="268"/>
    </row>
    <row r="81" spans="1:21" s="229" customFormat="1" ht="16.5" customHeight="1" x14ac:dyDescent="0.25">
      <c r="A81" s="506"/>
      <c r="B81" s="509"/>
      <c r="C81" s="434" t="s">
        <v>38</v>
      </c>
      <c r="D81" s="440" t="s">
        <v>559</v>
      </c>
      <c r="E81" s="434" t="s">
        <v>18</v>
      </c>
      <c r="F81" s="439">
        <f>((3000*100/3000))</f>
        <v>100</v>
      </c>
      <c r="G81" s="439">
        <f>((2930*100/3000))</f>
        <v>97.666666666666671</v>
      </c>
      <c r="H81" s="435">
        <f>IF(G81/F81*100&gt;100,100,G81/F81*100)</f>
        <v>97.666666666666671</v>
      </c>
      <c r="I81" s="239"/>
      <c r="J81" s="434" t="str">
        <f>C81</f>
        <v>3.1.</v>
      </c>
      <c r="K81" s="440" t="s">
        <v>558</v>
      </c>
      <c r="L81" s="434" t="s">
        <v>20</v>
      </c>
      <c r="M81" s="242">
        <v>3000</v>
      </c>
      <c r="N81" s="242">
        <v>2930</v>
      </c>
      <c r="O81" s="444">
        <f>IF(N81/M81*100&gt;110,110,N81/M81*100)</f>
        <v>97.666666666666671</v>
      </c>
      <c r="P81" s="246"/>
      <c r="Q81" s="246"/>
      <c r="R81" s="432"/>
      <c r="S81" s="512"/>
      <c r="T81" s="268"/>
      <c r="U81" s="268"/>
    </row>
    <row r="82" spans="1:21" s="229" customFormat="1" ht="70.5" customHeight="1" x14ac:dyDescent="0.25">
      <c r="A82" s="506"/>
      <c r="B82" s="509"/>
      <c r="C82" s="434" t="s">
        <v>118</v>
      </c>
      <c r="D82" s="440" t="s">
        <v>557</v>
      </c>
      <c r="E82" s="434" t="s">
        <v>18</v>
      </c>
      <c r="F82" s="260">
        <f xml:space="preserve"> ((12*100)/12)</f>
        <v>100</v>
      </c>
      <c r="G82" s="260">
        <f>((16*100)/12)</f>
        <v>133.33333333333334</v>
      </c>
      <c r="H82" s="435">
        <f>IF(G82/F82*100&gt;100,100,G82/F82*100)</f>
        <v>100</v>
      </c>
      <c r="I82" s="239"/>
      <c r="J82" s="434" t="str">
        <f>C82</f>
        <v>3.2.</v>
      </c>
      <c r="K82" s="440" t="s">
        <v>213</v>
      </c>
      <c r="L82" s="434" t="s">
        <v>216</v>
      </c>
      <c r="M82" s="242">
        <v>12</v>
      </c>
      <c r="N82" s="242">
        <v>16</v>
      </c>
      <c r="O82" s="444">
        <f>IF(N82/M82*100&gt;110,110,N82/M82*100)</f>
        <v>110</v>
      </c>
      <c r="P82" s="246"/>
      <c r="Q82" s="246"/>
      <c r="R82" s="432"/>
      <c r="S82" s="512"/>
      <c r="T82" s="268"/>
      <c r="U82" s="268"/>
    </row>
    <row r="83" spans="1:21" s="229" customFormat="1" ht="60.75" customHeight="1" x14ac:dyDescent="0.25">
      <c r="A83" s="506"/>
      <c r="B83" s="509"/>
      <c r="C83" s="434" t="s">
        <v>120</v>
      </c>
      <c r="D83" s="440" t="s">
        <v>502</v>
      </c>
      <c r="E83" s="434" t="s">
        <v>18</v>
      </c>
      <c r="F83" s="240" t="s">
        <v>556</v>
      </c>
      <c r="G83" s="240" t="s">
        <v>556</v>
      </c>
      <c r="H83" s="435">
        <v>100</v>
      </c>
      <c r="I83" s="239"/>
      <c r="J83" s="432"/>
      <c r="K83" s="34"/>
      <c r="L83" s="434"/>
      <c r="M83" s="242"/>
      <c r="N83" s="242"/>
      <c r="O83" s="444"/>
      <c r="P83" s="246"/>
      <c r="Q83" s="246"/>
      <c r="R83" s="432"/>
      <c r="S83" s="512"/>
      <c r="T83" s="268"/>
      <c r="U83" s="268"/>
    </row>
    <row r="84" spans="1:21" s="60" customFormat="1" ht="53.25" customHeight="1" x14ac:dyDescent="0.25">
      <c r="A84" s="506"/>
      <c r="B84" s="509"/>
      <c r="C84" s="128"/>
      <c r="D84" s="466" t="s">
        <v>644</v>
      </c>
      <c r="E84" s="20"/>
      <c r="F84" s="305"/>
      <c r="G84" s="306"/>
      <c r="H84" s="303"/>
      <c r="I84" s="86">
        <f>(H81+H82+H83)/3</f>
        <v>99.222222222222229</v>
      </c>
      <c r="J84" s="20"/>
      <c r="K84" s="466" t="s">
        <v>644</v>
      </c>
      <c r="L84" s="20"/>
      <c r="M84" s="310"/>
      <c r="N84" s="310"/>
      <c r="O84" s="18"/>
      <c r="P84" s="18">
        <f>(O81+O82)/2</f>
        <v>103.83333333333334</v>
      </c>
      <c r="Q84" s="18">
        <f>(I84+P84)/2</f>
        <v>101.52777777777779</v>
      </c>
      <c r="R84" s="447" t="s">
        <v>25</v>
      </c>
      <c r="S84" s="512"/>
      <c r="T84" s="268"/>
      <c r="U84" s="315"/>
    </row>
    <row r="85" spans="1:21" s="229" customFormat="1" ht="59.25" customHeight="1" x14ac:dyDescent="0.25">
      <c r="A85" s="506"/>
      <c r="B85" s="509"/>
      <c r="C85" s="432" t="s">
        <v>123</v>
      </c>
      <c r="D85" s="34" t="s">
        <v>554</v>
      </c>
      <c r="E85" s="434"/>
      <c r="F85" s="240"/>
      <c r="G85" s="240"/>
      <c r="H85" s="237"/>
      <c r="I85" s="246"/>
      <c r="J85" s="432" t="str">
        <f>C85</f>
        <v>IV</v>
      </c>
      <c r="K85" s="34" t="str">
        <f>D85</f>
        <v>Организация деятельности клубных формирований</v>
      </c>
      <c r="L85" s="434"/>
      <c r="M85" s="242"/>
      <c r="N85" s="242"/>
      <c r="O85" s="246"/>
      <c r="P85" s="246"/>
      <c r="Q85" s="246"/>
      <c r="R85" s="432"/>
      <c r="S85" s="512"/>
      <c r="T85" s="268"/>
      <c r="U85" s="268"/>
    </row>
    <row r="86" spans="1:21" s="229" customFormat="1" ht="59.25" customHeight="1" x14ac:dyDescent="0.25">
      <c r="A86" s="506"/>
      <c r="B86" s="509"/>
      <c r="C86" s="434" t="s">
        <v>124</v>
      </c>
      <c r="D86" s="440" t="s">
        <v>553</v>
      </c>
      <c r="E86" s="434" t="s">
        <v>18</v>
      </c>
      <c r="F86" s="439">
        <f>236/236*100</f>
        <v>100</v>
      </c>
      <c r="G86" s="439">
        <f>242/236*100</f>
        <v>102.54237288135593</v>
      </c>
      <c r="H86" s="435">
        <f>IF(G86/F86*100&gt;100,100,G86/F86*100)</f>
        <v>100</v>
      </c>
      <c r="I86" s="246"/>
      <c r="J86" s="434" t="str">
        <f>C86</f>
        <v>4.1.</v>
      </c>
      <c r="K86" s="440" t="s">
        <v>552</v>
      </c>
      <c r="L86" s="434" t="s">
        <v>216</v>
      </c>
      <c r="M86" s="242">
        <v>9</v>
      </c>
      <c r="N86" s="242">
        <v>10</v>
      </c>
      <c r="O86" s="444">
        <f>IF(N86/M86*100&gt;110,110,N86/M86*100)</f>
        <v>110</v>
      </c>
      <c r="P86" s="246"/>
      <c r="Q86" s="246"/>
      <c r="R86" s="432"/>
      <c r="S86" s="512"/>
      <c r="T86" s="268"/>
      <c r="U86" s="268"/>
    </row>
    <row r="87" spans="1:21" s="229" customFormat="1" ht="66" customHeight="1" x14ac:dyDescent="0.25">
      <c r="A87" s="506"/>
      <c r="B87" s="509"/>
      <c r="C87" s="434" t="s">
        <v>127</v>
      </c>
      <c r="D87" s="440" t="s">
        <v>551</v>
      </c>
      <c r="E87" s="434" t="s">
        <v>18</v>
      </c>
      <c r="F87" s="439">
        <f>2/9*100</f>
        <v>22.222222222222221</v>
      </c>
      <c r="G87" s="439">
        <f>2/10*100</f>
        <v>20</v>
      </c>
      <c r="H87" s="435">
        <f>IF(G87/F87*100&gt;100,100,G87/F87*100)</f>
        <v>90</v>
      </c>
      <c r="I87" s="246"/>
      <c r="J87" s="434" t="str">
        <f>C87</f>
        <v>4.2.</v>
      </c>
      <c r="K87" s="440" t="s">
        <v>550</v>
      </c>
      <c r="L87" s="434" t="s">
        <v>20</v>
      </c>
      <c r="M87" s="242">
        <v>236</v>
      </c>
      <c r="N87" s="242">
        <v>242</v>
      </c>
      <c r="O87" s="444">
        <f>IF(N87/M87*100&gt;110,110,N87/M87*100)</f>
        <v>102.54237288135593</v>
      </c>
      <c r="P87" s="246"/>
      <c r="Q87" s="246"/>
      <c r="R87" s="432"/>
      <c r="S87" s="512"/>
      <c r="T87" s="268"/>
      <c r="U87" s="268"/>
    </row>
    <row r="88" spans="1:21" s="60" customFormat="1" ht="53.25" customHeight="1" x14ac:dyDescent="0.25">
      <c r="A88" s="506"/>
      <c r="B88" s="509"/>
      <c r="C88" s="128"/>
      <c r="D88" s="466" t="s">
        <v>644</v>
      </c>
      <c r="E88" s="20"/>
      <c r="F88" s="305"/>
      <c r="G88" s="306"/>
      <c r="H88" s="303"/>
      <c r="I88" s="86">
        <f>(H86+H87)/2</f>
        <v>95</v>
      </c>
      <c r="J88" s="20"/>
      <c r="K88" s="466" t="s">
        <v>644</v>
      </c>
      <c r="L88" s="20"/>
      <c r="M88" s="310"/>
      <c r="N88" s="310"/>
      <c r="O88" s="18"/>
      <c r="P88" s="18">
        <f>(O87+O86)/2</f>
        <v>106.27118644067797</v>
      </c>
      <c r="Q88" s="18">
        <f>(I88+P88)/2</f>
        <v>100.63559322033899</v>
      </c>
      <c r="R88" s="447" t="s">
        <v>25</v>
      </c>
      <c r="S88" s="512"/>
      <c r="T88" s="268"/>
      <c r="U88" s="315"/>
    </row>
    <row r="89" spans="1:21" s="229" customFormat="1" ht="82.5" customHeight="1" x14ac:dyDescent="0.25">
      <c r="A89" s="506"/>
      <c r="B89" s="509"/>
      <c r="C89" s="432" t="s">
        <v>129</v>
      </c>
      <c r="D89" s="34" t="s">
        <v>549</v>
      </c>
      <c r="E89" s="434"/>
      <c r="F89" s="259"/>
      <c r="G89" s="259"/>
      <c r="H89" s="237"/>
      <c r="I89" s="246"/>
      <c r="J89" s="432" t="str">
        <f>C89</f>
        <v>V</v>
      </c>
      <c r="K89" s="34" t="s">
        <v>549</v>
      </c>
      <c r="L89" s="434"/>
      <c r="M89" s="258"/>
      <c r="N89" s="258"/>
      <c r="O89" s="436"/>
      <c r="P89" s="246"/>
      <c r="Q89" s="246"/>
      <c r="R89" s="432"/>
      <c r="S89" s="512"/>
      <c r="T89" s="268"/>
      <c r="U89" s="268"/>
    </row>
    <row r="90" spans="1:21" s="229" customFormat="1" ht="98.25" customHeight="1" x14ac:dyDescent="0.25">
      <c r="A90" s="506"/>
      <c r="B90" s="509"/>
      <c r="C90" s="517" t="s">
        <v>131</v>
      </c>
      <c r="D90" s="524" t="s">
        <v>548</v>
      </c>
      <c r="E90" s="520" t="s">
        <v>20</v>
      </c>
      <c r="F90" s="526">
        <f>53/178171*1000</f>
        <v>0.29746704009069935</v>
      </c>
      <c r="G90" s="526">
        <f>53/178171*1000</f>
        <v>0.29746704009069935</v>
      </c>
      <c r="H90" s="523">
        <f>IF(G90/F90*100&gt;100,100,G90/F90*100)</f>
        <v>100</v>
      </c>
      <c r="I90" s="516"/>
      <c r="J90" s="434" t="str">
        <f>C90</f>
        <v>5.1.</v>
      </c>
      <c r="K90" s="440" t="s">
        <v>213</v>
      </c>
      <c r="L90" s="434" t="s">
        <v>216</v>
      </c>
      <c r="M90" s="242">
        <v>53</v>
      </c>
      <c r="N90" s="242">
        <v>53</v>
      </c>
      <c r="O90" s="444">
        <f>IF(N90/M90*100&gt;110,110,N90/M90*100)</f>
        <v>100</v>
      </c>
      <c r="P90" s="239"/>
      <c r="Q90" s="246"/>
      <c r="R90" s="432"/>
      <c r="S90" s="512"/>
      <c r="T90" s="268"/>
      <c r="U90" s="268"/>
    </row>
    <row r="91" spans="1:21" s="229" customFormat="1" ht="31.5" customHeight="1" x14ac:dyDescent="0.25">
      <c r="A91" s="506"/>
      <c r="B91" s="509"/>
      <c r="C91" s="518"/>
      <c r="D91" s="525"/>
      <c r="E91" s="520"/>
      <c r="F91" s="526">
        <f>141/183865*1000</f>
        <v>0.76686699480597176</v>
      </c>
      <c r="G91" s="526">
        <f>141/183865*1000</f>
        <v>0.76686699480597176</v>
      </c>
      <c r="H91" s="523">
        <f>IF(G91/F91*100&gt;100,100,G91/F91*100)</f>
        <v>100</v>
      </c>
      <c r="I91" s="516"/>
      <c r="J91" s="434" t="s">
        <v>183</v>
      </c>
      <c r="K91" s="440" t="s">
        <v>398</v>
      </c>
      <c r="L91" s="434" t="s">
        <v>20</v>
      </c>
      <c r="M91" s="242">
        <v>81200</v>
      </c>
      <c r="N91" s="242">
        <v>85550</v>
      </c>
      <c r="O91" s="444">
        <f>IF(N91/M91*100&gt;110,110,N91/M91*100)</f>
        <v>105.35714285714286</v>
      </c>
      <c r="P91" s="246"/>
      <c r="Q91" s="265"/>
      <c r="R91" s="432"/>
      <c r="S91" s="512"/>
      <c r="T91" s="268"/>
      <c r="U91" s="268"/>
    </row>
    <row r="92" spans="1:21" s="60" customFormat="1" ht="53.25" customHeight="1" x14ac:dyDescent="0.25">
      <c r="A92" s="506"/>
      <c r="B92" s="509"/>
      <c r="C92" s="257"/>
      <c r="D92" s="466" t="s">
        <v>644</v>
      </c>
      <c r="E92" s="257"/>
      <c r="F92" s="307"/>
      <c r="G92" s="307"/>
      <c r="H92" s="308"/>
      <c r="I92" s="330">
        <f>H90</f>
        <v>100</v>
      </c>
      <c r="J92" s="18"/>
      <c r="K92" s="466" t="s">
        <v>644</v>
      </c>
      <c r="L92" s="18"/>
      <c r="M92" s="309"/>
      <c r="N92" s="309"/>
      <c r="O92" s="18"/>
      <c r="P92" s="18">
        <f>(O90+O91)/2</f>
        <v>102.67857142857143</v>
      </c>
      <c r="Q92" s="18">
        <f>(I92+P92)/2</f>
        <v>101.33928571428572</v>
      </c>
      <c r="R92" s="447" t="s">
        <v>25</v>
      </c>
      <c r="S92" s="512"/>
      <c r="T92" s="268"/>
    </row>
    <row r="93" spans="1:21" s="229" customFormat="1" ht="83.25" customHeight="1" x14ac:dyDescent="0.25">
      <c r="A93" s="506"/>
      <c r="B93" s="509"/>
      <c r="C93" s="432" t="s">
        <v>140</v>
      </c>
      <c r="D93" s="34" t="s">
        <v>566</v>
      </c>
      <c r="E93" s="432"/>
      <c r="F93" s="259"/>
      <c r="G93" s="259"/>
      <c r="H93" s="237"/>
      <c r="I93" s="246"/>
      <c r="J93" s="432" t="str">
        <f>C93</f>
        <v>VI</v>
      </c>
      <c r="K93" s="34" t="str">
        <f>D93</f>
        <v>Организация и проведение культурно-массовых мероприятий (иные зрелищные мероприятия)</v>
      </c>
      <c r="L93" s="434"/>
      <c r="M93" s="242"/>
      <c r="N93" s="242"/>
      <c r="O93" s="436"/>
      <c r="P93" s="246"/>
      <c r="Q93" s="246"/>
      <c r="R93" s="432"/>
      <c r="S93" s="512"/>
      <c r="T93" s="268"/>
      <c r="U93" s="268"/>
    </row>
    <row r="94" spans="1:21" s="229" customFormat="1" ht="61.5" customHeight="1" x14ac:dyDescent="0.25">
      <c r="A94" s="506"/>
      <c r="B94" s="509"/>
      <c r="C94" s="517" t="s">
        <v>142</v>
      </c>
      <c r="D94" s="519" t="s">
        <v>546</v>
      </c>
      <c r="E94" s="520" t="s">
        <v>216</v>
      </c>
      <c r="F94" s="526">
        <f>135/178171*1000</f>
        <v>0.75769906438197021</v>
      </c>
      <c r="G94" s="526">
        <f>144/178171*1000</f>
        <v>0.8082123353407682</v>
      </c>
      <c r="H94" s="523">
        <f>IF(G94/F94*100&gt;100,100,G94/F94*100)</f>
        <v>100</v>
      </c>
      <c r="I94" s="516"/>
      <c r="J94" s="434" t="str">
        <f>C94</f>
        <v>6.1.</v>
      </c>
      <c r="K94" s="440" t="s">
        <v>213</v>
      </c>
      <c r="L94" s="434" t="s">
        <v>216</v>
      </c>
      <c r="M94" s="258">
        <v>135</v>
      </c>
      <c r="N94" s="258">
        <v>144</v>
      </c>
      <c r="O94" s="444">
        <f>IF(N94/M94*100&gt;110,110,N94/M94*100)</f>
        <v>106.66666666666667</v>
      </c>
      <c r="P94" s="239"/>
      <c r="Q94" s="246"/>
      <c r="R94" s="432"/>
      <c r="S94" s="512"/>
      <c r="T94" s="268"/>
      <c r="U94" s="268"/>
    </row>
    <row r="95" spans="1:21" s="229" customFormat="1" ht="53.25" customHeight="1" x14ac:dyDescent="0.25">
      <c r="A95" s="506"/>
      <c r="B95" s="509"/>
      <c r="C95" s="518"/>
      <c r="D95" s="519"/>
      <c r="E95" s="520"/>
      <c r="F95" s="526">
        <f>155/183865*1000</f>
        <v>0.84300981698528821</v>
      </c>
      <c r="G95" s="526">
        <f>155/183865*1000</f>
        <v>0.84300981698528821</v>
      </c>
      <c r="H95" s="523">
        <f>IF(G95/F95*100&gt;100,100,G95/F95*100)</f>
        <v>100</v>
      </c>
      <c r="I95" s="516"/>
      <c r="J95" s="434" t="s">
        <v>188</v>
      </c>
      <c r="K95" s="440" t="s">
        <v>545</v>
      </c>
      <c r="L95" s="434" t="s">
        <v>20</v>
      </c>
      <c r="M95" s="258">
        <v>70620</v>
      </c>
      <c r="N95" s="258">
        <v>67146</v>
      </c>
      <c r="O95" s="444">
        <f>IF(N95/M95*100&gt;110,110,N95/M95*100)</f>
        <v>95.080713678844518</v>
      </c>
      <c r="P95" s="246"/>
      <c r="Q95" s="246"/>
      <c r="R95" s="432"/>
      <c r="S95" s="512"/>
      <c r="T95" s="268"/>
      <c r="U95" s="268"/>
    </row>
    <row r="96" spans="1:21" s="60" customFormat="1" ht="53.25" customHeight="1" x14ac:dyDescent="0.25">
      <c r="A96" s="507"/>
      <c r="B96" s="510"/>
      <c r="C96" s="257"/>
      <c r="D96" s="466" t="s">
        <v>644</v>
      </c>
      <c r="E96" s="257"/>
      <c r="F96" s="307"/>
      <c r="G96" s="307"/>
      <c r="H96" s="308"/>
      <c r="I96" s="330">
        <f>H94</f>
        <v>100</v>
      </c>
      <c r="J96" s="18"/>
      <c r="K96" s="466" t="s">
        <v>644</v>
      </c>
      <c r="L96" s="18"/>
      <c r="M96" s="18"/>
      <c r="N96" s="18"/>
      <c r="O96" s="18"/>
      <c r="P96" s="18">
        <f>(O94+O95)/2</f>
        <v>100.8736901727556</v>
      </c>
      <c r="Q96" s="18">
        <f>(I96+P96)/2</f>
        <v>100.4368450863778</v>
      </c>
      <c r="R96" s="447" t="s">
        <v>25</v>
      </c>
      <c r="S96" s="512"/>
      <c r="T96" s="268"/>
    </row>
    <row r="97" spans="1:21" s="243" customFormat="1" ht="74.25" customHeight="1" x14ac:dyDescent="0.25">
      <c r="A97" s="505" t="s">
        <v>57</v>
      </c>
      <c r="B97" s="508" t="s">
        <v>565</v>
      </c>
      <c r="C97" s="433" t="s">
        <v>13</v>
      </c>
      <c r="D97" s="34" t="s">
        <v>564</v>
      </c>
      <c r="E97" s="432"/>
      <c r="F97" s="264"/>
      <c r="G97" s="264"/>
      <c r="H97" s="237"/>
      <c r="I97" s="246"/>
      <c r="J97" s="432" t="str">
        <f>C97</f>
        <v>I</v>
      </c>
      <c r="K97" s="34" t="str">
        <f>D97</f>
        <v>Показ кинофильмов (услуга платная)</v>
      </c>
      <c r="L97" s="432"/>
      <c r="M97" s="245"/>
      <c r="N97" s="245"/>
      <c r="O97" s="237"/>
      <c r="P97" s="193"/>
      <c r="Q97" s="246"/>
      <c r="R97" s="432"/>
      <c r="S97" s="512" t="s">
        <v>104</v>
      </c>
      <c r="T97" s="318"/>
      <c r="U97" s="316"/>
    </row>
    <row r="98" spans="1:21" ht="33.75" customHeight="1" x14ac:dyDescent="0.25">
      <c r="A98" s="506"/>
      <c r="B98" s="509"/>
      <c r="C98" s="434" t="s">
        <v>16</v>
      </c>
      <c r="D98" s="440" t="s">
        <v>562</v>
      </c>
      <c r="E98" s="434" t="s">
        <v>18</v>
      </c>
      <c r="F98" s="255">
        <f>23928/1200/296*100</f>
        <v>6.7364864864864868</v>
      </c>
      <c r="G98" s="255">
        <f>25284/1498/296*100</f>
        <v>5.7021975246274312</v>
      </c>
      <c r="H98" s="435">
        <f>IF(G98/F98*100&gt;100,100,G98/F98*100)</f>
        <v>84.646462752744213</v>
      </c>
      <c r="I98" s="246"/>
      <c r="J98" s="434" t="s">
        <v>16</v>
      </c>
      <c r="K98" s="197" t="s">
        <v>561</v>
      </c>
      <c r="L98" s="197" t="s">
        <v>20</v>
      </c>
      <c r="M98" s="319">
        <v>23928</v>
      </c>
      <c r="N98" s="319">
        <v>25284</v>
      </c>
      <c r="O98" s="239">
        <f>IF(N98/M98*100&gt;110,110,N98/M98*100)</f>
        <v>105.66700100300903</v>
      </c>
      <c r="P98" s="193"/>
      <c r="Q98" s="246"/>
      <c r="R98" s="36"/>
      <c r="S98" s="512"/>
      <c r="T98" s="318"/>
      <c r="U98" s="60"/>
    </row>
    <row r="99" spans="1:21" ht="68.25" customHeight="1" x14ac:dyDescent="0.25">
      <c r="A99" s="506"/>
      <c r="B99" s="509"/>
      <c r="C99" s="434" t="s">
        <v>21</v>
      </c>
      <c r="D99" s="440" t="s">
        <v>502</v>
      </c>
      <c r="E99" s="434" t="s">
        <v>18</v>
      </c>
      <c r="F99" s="240" t="s">
        <v>556</v>
      </c>
      <c r="G99" s="442" t="s">
        <v>555</v>
      </c>
      <c r="H99" s="435">
        <v>100</v>
      </c>
      <c r="I99" s="239"/>
      <c r="J99" s="197"/>
      <c r="K99" s="197"/>
      <c r="L99" s="197"/>
      <c r="M99" s="197"/>
      <c r="N99" s="197"/>
      <c r="O99" s="239"/>
      <c r="P99" s="193"/>
      <c r="Q99" s="246"/>
      <c r="R99" s="36"/>
      <c r="S99" s="512"/>
      <c r="T99" s="318"/>
      <c r="U99" s="60"/>
    </row>
    <row r="100" spans="1:21" s="60" customFormat="1" ht="53.25" customHeight="1" x14ac:dyDescent="0.25">
      <c r="A100" s="506"/>
      <c r="B100" s="509"/>
      <c r="C100" s="128"/>
      <c r="D100" s="466" t="s">
        <v>644</v>
      </c>
      <c r="E100" s="20"/>
      <c r="F100" s="305"/>
      <c r="G100" s="306"/>
      <c r="H100" s="303"/>
      <c r="I100" s="86">
        <f>(H98+H99)/2</f>
        <v>92.323231376372107</v>
      </c>
      <c r="J100" s="20"/>
      <c r="K100" s="466" t="s">
        <v>644</v>
      </c>
      <c r="L100" s="20"/>
      <c r="M100" s="124"/>
      <c r="N100" s="124"/>
      <c r="O100" s="303"/>
      <c r="P100" s="18">
        <f>O98</f>
        <v>105.66700100300903</v>
      </c>
      <c r="Q100" s="18">
        <f>(I100+P100)/2</f>
        <v>98.995116189690577</v>
      </c>
      <c r="R100" s="447" t="s">
        <v>112</v>
      </c>
      <c r="S100" s="512"/>
      <c r="T100" s="318"/>
      <c r="U100" s="315"/>
    </row>
    <row r="101" spans="1:21" ht="33" customHeight="1" x14ac:dyDescent="0.25">
      <c r="A101" s="506"/>
      <c r="B101" s="509"/>
      <c r="C101" s="433" t="s">
        <v>26</v>
      </c>
      <c r="D101" s="34" t="s">
        <v>563</v>
      </c>
      <c r="E101" s="432"/>
      <c r="F101" s="240"/>
      <c r="G101" s="240"/>
      <c r="H101" s="237"/>
      <c r="I101" s="246"/>
      <c r="J101" s="432" t="str">
        <f>C101</f>
        <v>II</v>
      </c>
      <c r="K101" s="34" t="str">
        <f>D101</f>
        <v>Показ кинофильмов (услуга бесплатная)</v>
      </c>
      <c r="L101" s="434"/>
      <c r="M101" s="438"/>
      <c r="N101" s="438"/>
      <c r="O101" s="263"/>
      <c r="P101" s="261"/>
      <c r="Q101" s="441"/>
      <c r="R101" s="432"/>
      <c r="S101" s="512"/>
      <c r="T101" s="318"/>
      <c r="U101" s="60"/>
    </row>
    <row r="102" spans="1:21" ht="41.25" customHeight="1" x14ac:dyDescent="0.25">
      <c r="A102" s="506"/>
      <c r="B102" s="509"/>
      <c r="C102" s="434" t="s">
        <v>28</v>
      </c>
      <c r="D102" s="440" t="s">
        <v>562</v>
      </c>
      <c r="E102" s="434" t="s">
        <v>18</v>
      </c>
      <c r="F102" s="439">
        <f>475/15/296*100</f>
        <v>10.698198198198199</v>
      </c>
      <c r="G102" s="439">
        <f>475/15/296*100</f>
        <v>10.698198198198199</v>
      </c>
      <c r="H102" s="435">
        <f>IF(G102/F102*100&gt;100,100,G102/F102*100)</f>
        <v>100</v>
      </c>
      <c r="I102" s="239"/>
      <c r="J102" s="434" t="str">
        <f>C102</f>
        <v>2.1.</v>
      </c>
      <c r="K102" s="440" t="s">
        <v>561</v>
      </c>
      <c r="L102" s="434" t="s">
        <v>20</v>
      </c>
      <c r="M102" s="262">
        <v>475</v>
      </c>
      <c r="N102" s="262">
        <v>475</v>
      </c>
      <c r="O102" s="435">
        <f>IF(N102/M102*100&gt;110,110,N102/M102*100)</f>
        <v>100</v>
      </c>
      <c r="P102" s="261"/>
      <c r="Q102" s="441"/>
      <c r="R102" s="432"/>
      <c r="S102" s="512"/>
      <c r="T102" s="318"/>
      <c r="U102" s="60"/>
    </row>
    <row r="103" spans="1:21" s="60" customFormat="1" ht="53.25" customHeight="1" x14ac:dyDescent="0.25">
      <c r="A103" s="506"/>
      <c r="B103" s="509"/>
      <c r="C103" s="20"/>
      <c r="D103" s="466" t="s">
        <v>644</v>
      </c>
      <c r="E103" s="20"/>
      <c r="F103" s="301"/>
      <c r="G103" s="302"/>
      <c r="H103" s="303"/>
      <c r="I103" s="86">
        <f>H102</f>
        <v>100</v>
      </c>
      <c r="J103" s="447"/>
      <c r="K103" s="466" t="s">
        <v>644</v>
      </c>
      <c r="L103" s="447"/>
      <c r="M103" s="447"/>
      <c r="N103" s="447"/>
      <c r="O103" s="303"/>
      <c r="P103" s="18">
        <f>O102</f>
        <v>100</v>
      </c>
      <c r="Q103" s="18">
        <f>(I103+P103)/2</f>
        <v>100</v>
      </c>
      <c r="R103" s="447" t="s">
        <v>25</v>
      </c>
      <c r="S103" s="512"/>
      <c r="T103" s="318"/>
      <c r="U103" s="315"/>
    </row>
    <row r="104" spans="1:21" s="243" customFormat="1" ht="49.5" customHeight="1" x14ac:dyDescent="0.25">
      <c r="A104" s="506"/>
      <c r="B104" s="509"/>
      <c r="C104" s="432" t="s">
        <v>36</v>
      </c>
      <c r="D104" s="34" t="s">
        <v>560</v>
      </c>
      <c r="E104" s="434"/>
      <c r="F104" s="240"/>
      <c r="G104" s="240"/>
      <c r="H104" s="237"/>
      <c r="I104" s="246"/>
      <c r="J104" s="432" t="str">
        <f>C104</f>
        <v>III</v>
      </c>
      <c r="K104" s="34" t="str">
        <f>D104</f>
        <v>Организация и проведение мероприятий - Культурно-массовых (услуга платная)</v>
      </c>
      <c r="L104" s="432"/>
      <c r="M104" s="245"/>
      <c r="N104" s="245"/>
      <c r="O104" s="237"/>
      <c r="P104" s="246"/>
      <c r="Q104" s="246"/>
      <c r="R104" s="432"/>
      <c r="S104" s="512"/>
      <c r="T104" s="318"/>
      <c r="U104" s="316"/>
    </row>
    <row r="105" spans="1:21" ht="16.5" customHeight="1" x14ac:dyDescent="0.25">
      <c r="A105" s="506"/>
      <c r="B105" s="509"/>
      <c r="C105" s="434" t="s">
        <v>38</v>
      </c>
      <c r="D105" s="440" t="s">
        <v>559</v>
      </c>
      <c r="E105" s="434" t="s">
        <v>18</v>
      </c>
      <c r="F105" s="439">
        <f>3250/3250*100</f>
        <v>100</v>
      </c>
      <c r="G105" s="439">
        <f>3556/3250*100</f>
        <v>109.41538461538462</v>
      </c>
      <c r="H105" s="435">
        <f>IF(G105/F105*100&gt;100,100,G105/F105*100)</f>
        <v>100</v>
      </c>
      <c r="I105" s="239"/>
      <c r="J105" s="434" t="str">
        <f>C105</f>
        <v>3.1.</v>
      </c>
      <c r="K105" s="440" t="s">
        <v>558</v>
      </c>
      <c r="L105" s="434" t="s">
        <v>20</v>
      </c>
      <c r="M105" s="242">
        <v>3250</v>
      </c>
      <c r="N105" s="242">
        <v>3556</v>
      </c>
      <c r="O105" s="435">
        <f>IF(N105/M105*100&gt;110,110,N105/M105*100)</f>
        <v>109.41538461538462</v>
      </c>
      <c r="P105" s="246"/>
      <c r="Q105" s="246"/>
      <c r="R105" s="432"/>
      <c r="S105" s="512"/>
      <c r="T105" s="318"/>
      <c r="U105" s="60"/>
    </row>
    <row r="106" spans="1:21" ht="70.5" customHeight="1" x14ac:dyDescent="0.25">
      <c r="A106" s="506"/>
      <c r="B106" s="509"/>
      <c r="C106" s="434" t="s">
        <v>118</v>
      </c>
      <c r="D106" s="440" t="s">
        <v>557</v>
      </c>
      <c r="E106" s="434" t="s">
        <v>18</v>
      </c>
      <c r="F106" s="260">
        <f>((13*100/13))</f>
        <v>100</v>
      </c>
      <c r="G106" s="260">
        <f>13/13*100</f>
        <v>100</v>
      </c>
      <c r="H106" s="435">
        <f>IF(G106/F106*100&gt;100,100,G106/F106*100)</f>
        <v>100</v>
      </c>
      <c r="I106" s="239"/>
      <c r="J106" s="434" t="str">
        <f>C106</f>
        <v>3.2.</v>
      </c>
      <c r="K106" s="440" t="s">
        <v>213</v>
      </c>
      <c r="L106" s="434" t="s">
        <v>216</v>
      </c>
      <c r="M106" s="242">
        <v>13</v>
      </c>
      <c r="N106" s="242">
        <v>13</v>
      </c>
      <c r="O106" s="435">
        <f>IF(N106/M106*100&gt;110,110,N106/M106*100)</f>
        <v>100</v>
      </c>
      <c r="P106" s="246"/>
      <c r="Q106" s="246"/>
      <c r="R106" s="432"/>
      <c r="S106" s="512"/>
      <c r="T106" s="318"/>
      <c r="U106" s="60"/>
    </row>
    <row r="107" spans="1:21" ht="57.75" customHeight="1" x14ac:dyDescent="0.25">
      <c r="A107" s="506"/>
      <c r="B107" s="509"/>
      <c r="C107" s="434" t="s">
        <v>120</v>
      </c>
      <c r="D107" s="440" t="s">
        <v>502</v>
      </c>
      <c r="E107" s="434" t="s">
        <v>18</v>
      </c>
      <c r="F107" s="240" t="s">
        <v>556</v>
      </c>
      <c r="G107" s="442" t="s">
        <v>555</v>
      </c>
      <c r="H107" s="435">
        <v>100</v>
      </c>
      <c r="I107" s="239"/>
      <c r="J107" s="434"/>
      <c r="K107" s="440"/>
      <c r="L107" s="434"/>
      <c r="M107" s="434"/>
      <c r="N107" s="434"/>
      <c r="O107" s="435"/>
      <c r="P107" s="246"/>
      <c r="Q107" s="246"/>
      <c r="R107" s="432"/>
      <c r="S107" s="512"/>
      <c r="T107" s="318"/>
      <c r="U107" s="60"/>
    </row>
    <row r="108" spans="1:21" s="60" customFormat="1" ht="53.25" customHeight="1" x14ac:dyDescent="0.25">
      <c r="A108" s="506"/>
      <c r="B108" s="509"/>
      <c r="C108" s="128"/>
      <c r="D108" s="466" t="s">
        <v>644</v>
      </c>
      <c r="E108" s="20"/>
      <c r="F108" s="305"/>
      <c r="G108" s="306"/>
      <c r="H108" s="303"/>
      <c r="I108" s="86">
        <f>(H105+H106+H107)/3</f>
        <v>100</v>
      </c>
      <c r="J108" s="20"/>
      <c r="K108" s="466" t="s">
        <v>644</v>
      </c>
      <c r="L108" s="20"/>
      <c r="M108" s="124"/>
      <c r="N108" s="124"/>
      <c r="O108" s="303"/>
      <c r="P108" s="18">
        <f>(O105+O106)/2</f>
        <v>104.70769230769231</v>
      </c>
      <c r="Q108" s="18">
        <f>(I108+P108)/2</f>
        <v>102.35384615384615</v>
      </c>
      <c r="R108" s="447" t="s">
        <v>25</v>
      </c>
      <c r="S108" s="512"/>
      <c r="T108" s="318"/>
      <c r="U108" s="315"/>
    </row>
    <row r="109" spans="1:21" s="243" customFormat="1" ht="33" customHeight="1" x14ac:dyDescent="0.25">
      <c r="A109" s="506"/>
      <c r="B109" s="509"/>
      <c r="C109" s="432" t="s">
        <v>123</v>
      </c>
      <c r="D109" s="34" t="s">
        <v>554</v>
      </c>
      <c r="E109" s="434"/>
      <c r="F109" s="240"/>
      <c r="G109" s="240"/>
      <c r="H109" s="237"/>
      <c r="I109" s="246"/>
      <c r="J109" s="432" t="str">
        <f>C109</f>
        <v>IV</v>
      </c>
      <c r="K109" s="34" t="str">
        <f>D109</f>
        <v>Организация деятельности клубных формирований</v>
      </c>
      <c r="L109" s="432"/>
      <c r="M109" s="434"/>
      <c r="N109" s="434"/>
      <c r="O109" s="237"/>
      <c r="P109" s="246"/>
      <c r="Q109" s="246"/>
      <c r="R109" s="432"/>
      <c r="S109" s="512"/>
      <c r="T109" s="318"/>
      <c r="U109" s="316"/>
    </row>
    <row r="110" spans="1:21" ht="49.5" customHeight="1" x14ac:dyDescent="0.25">
      <c r="A110" s="506"/>
      <c r="B110" s="509"/>
      <c r="C110" s="434" t="s">
        <v>124</v>
      </c>
      <c r="D110" s="440" t="s">
        <v>553</v>
      </c>
      <c r="E110" s="434" t="s">
        <v>18</v>
      </c>
      <c r="F110" s="439">
        <f>150/150*100</f>
        <v>100</v>
      </c>
      <c r="G110" s="439">
        <f>150/150*100</f>
        <v>100</v>
      </c>
      <c r="H110" s="435">
        <f>IF(G110/F110*100&gt;100,100,G110/F110*100)</f>
        <v>100</v>
      </c>
      <c r="I110" s="246"/>
      <c r="J110" s="434" t="str">
        <f>C110</f>
        <v>4.1.</v>
      </c>
      <c r="K110" s="440" t="s">
        <v>552</v>
      </c>
      <c r="L110" s="434" t="s">
        <v>216</v>
      </c>
      <c r="M110" s="242">
        <v>13</v>
      </c>
      <c r="N110" s="242">
        <v>13</v>
      </c>
      <c r="O110" s="435">
        <f>IF(N110/M110*100&gt;110,110,N110/M110*100)</f>
        <v>100</v>
      </c>
      <c r="P110" s="246"/>
      <c r="Q110" s="246"/>
      <c r="R110" s="432"/>
      <c r="S110" s="512"/>
      <c r="T110" s="318"/>
      <c r="U110" s="60"/>
    </row>
    <row r="111" spans="1:21" ht="86.25" customHeight="1" x14ac:dyDescent="0.25">
      <c r="A111" s="506"/>
      <c r="B111" s="509"/>
      <c r="C111" s="434" t="s">
        <v>127</v>
      </c>
      <c r="D111" s="440" t="s">
        <v>551</v>
      </c>
      <c r="E111" s="434" t="s">
        <v>18</v>
      </c>
      <c r="F111" s="439">
        <f>1/13*100</f>
        <v>7.6923076923076925</v>
      </c>
      <c r="G111" s="439">
        <f>1/13*100</f>
        <v>7.6923076923076925</v>
      </c>
      <c r="H111" s="435">
        <f>IF(G111/F111*100&gt;100,100,G111/F111*100)</f>
        <v>100</v>
      </c>
      <c r="I111" s="246"/>
      <c r="J111" s="434" t="str">
        <f>C111</f>
        <v>4.2.</v>
      </c>
      <c r="K111" s="440" t="s">
        <v>550</v>
      </c>
      <c r="L111" s="434" t="s">
        <v>20</v>
      </c>
      <c r="M111" s="242">
        <v>150</v>
      </c>
      <c r="N111" s="242">
        <v>150</v>
      </c>
      <c r="O111" s="435">
        <f>IF(N111/M111*100&gt;110,110,N111/M111*100)</f>
        <v>100</v>
      </c>
      <c r="P111" s="246"/>
      <c r="Q111" s="246"/>
      <c r="R111" s="432"/>
      <c r="S111" s="512"/>
      <c r="T111" s="318"/>
      <c r="U111" s="60"/>
    </row>
    <row r="112" spans="1:21" s="60" customFormat="1" ht="53.25" customHeight="1" x14ac:dyDescent="0.25">
      <c r="A112" s="506"/>
      <c r="B112" s="509"/>
      <c r="C112" s="128"/>
      <c r="D112" s="466" t="s">
        <v>644</v>
      </c>
      <c r="E112" s="20"/>
      <c r="F112" s="305"/>
      <c r="G112" s="306"/>
      <c r="H112" s="303"/>
      <c r="I112" s="86">
        <f>(H110+H111)/2</f>
        <v>100</v>
      </c>
      <c r="J112" s="20"/>
      <c r="K112" s="466" t="s">
        <v>644</v>
      </c>
      <c r="L112" s="20"/>
      <c r="M112" s="124"/>
      <c r="N112" s="124"/>
      <c r="O112" s="303"/>
      <c r="P112" s="18">
        <f>(O111+O110)/2</f>
        <v>100</v>
      </c>
      <c r="Q112" s="18">
        <f>(I112+P112)/2</f>
        <v>100</v>
      </c>
      <c r="R112" s="447" t="s">
        <v>25</v>
      </c>
      <c r="S112" s="512"/>
      <c r="T112" s="318"/>
      <c r="U112" s="315"/>
    </row>
    <row r="113" spans="1:21" ht="82.5" customHeight="1" x14ac:dyDescent="0.25">
      <c r="A113" s="506"/>
      <c r="B113" s="509"/>
      <c r="C113" s="432" t="s">
        <v>129</v>
      </c>
      <c r="D113" s="34" t="s">
        <v>549</v>
      </c>
      <c r="E113" s="434"/>
      <c r="F113" s="259"/>
      <c r="G113" s="259"/>
      <c r="H113" s="237"/>
      <c r="I113" s="246"/>
      <c r="J113" s="432" t="str">
        <f>C113</f>
        <v>V</v>
      </c>
      <c r="K113" s="34" t="s">
        <v>549</v>
      </c>
      <c r="L113" s="434"/>
      <c r="M113" s="245"/>
      <c r="N113" s="245"/>
      <c r="O113" s="237"/>
      <c r="P113" s="246"/>
      <c r="Q113" s="246"/>
      <c r="R113" s="432"/>
      <c r="S113" s="512"/>
      <c r="T113" s="318"/>
      <c r="U113" s="60"/>
    </row>
    <row r="114" spans="1:21" ht="33" customHeight="1" x14ac:dyDescent="0.25">
      <c r="A114" s="506"/>
      <c r="B114" s="509"/>
      <c r="C114" s="517" t="s">
        <v>131</v>
      </c>
      <c r="D114" s="524" t="s">
        <v>548</v>
      </c>
      <c r="E114" s="520" t="s">
        <v>20</v>
      </c>
      <c r="F114" s="521">
        <f>48/178915*1000</f>
        <v>0.26828382192661321</v>
      </c>
      <c r="G114" s="521">
        <f>51/178915*1000</f>
        <v>0.28505156079702654</v>
      </c>
      <c r="H114" s="523">
        <f>IF(G114/F114*100&gt;100,100,G114/F114*100)</f>
        <v>100</v>
      </c>
      <c r="I114" s="516"/>
      <c r="J114" s="434" t="str">
        <f>C114</f>
        <v>5.1.</v>
      </c>
      <c r="K114" s="440" t="s">
        <v>213</v>
      </c>
      <c r="L114" s="434" t="s">
        <v>216</v>
      </c>
      <c r="M114" s="242">
        <v>48</v>
      </c>
      <c r="N114" s="242">
        <v>40</v>
      </c>
      <c r="O114" s="435">
        <f>IF(N114/M114*100&gt;110,110,N114/M114*100)</f>
        <v>83.333333333333343</v>
      </c>
      <c r="P114" s="239"/>
      <c r="Q114" s="246"/>
      <c r="R114" s="432"/>
      <c r="S114" s="512"/>
      <c r="T114" s="318"/>
      <c r="U114" s="60"/>
    </row>
    <row r="115" spans="1:21" ht="58.5" customHeight="1" x14ac:dyDescent="0.25">
      <c r="A115" s="506"/>
      <c r="B115" s="509"/>
      <c r="C115" s="518"/>
      <c r="D115" s="525"/>
      <c r="E115" s="520"/>
      <c r="F115" s="522">
        <f>56/183865*1000</f>
        <v>0.30457128871726535</v>
      </c>
      <c r="G115" s="522">
        <f>56/183865*1000</f>
        <v>0.30457128871726535</v>
      </c>
      <c r="H115" s="523">
        <f>IF(G115/F115*100&gt;100,100,G115/F115*100)</f>
        <v>100</v>
      </c>
      <c r="I115" s="516"/>
      <c r="J115" s="434" t="s">
        <v>183</v>
      </c>
      <c r="K115" s="440" t="s">
        <v>545</v>
      </c>
      <c r="L115" s="434" t="s">
        <v>20</v>
      </c>
      <c r="M115" s="242">
        <v>21772</v>
      </c>
      <c r="N115" s="242">
        <v>21871</v>
      </c>
      <c r="O115" s="435">
        <f>IF(N115/M115*100&gt;110,110,N115/M115*100)</f>
        <v>100.4547124747382</v>
      </c>
      <c r="P115" s="246"/>
      <c r="Q115" s="246"/>
      <c r="R115" s="432"/>
      <c r="S115" s="512"/>
      <c r="T115" s="318"/>
      <c r="U115" s="60"/>
    </row>
    <row r="116" spans="1:21" s="60" customFormat="1" ht="53.25" customHeight="1" x14ac:dyDescent="0.25">
      <c r="A116" s="506"/>
      <c r="B116" s="509"/>
      <c r="C116" s="128"/>
      <c r="D116" s="466" t="s">
        <v>644</v>
      </c>
      <c r="E116" s="20"/>
      <c r="F116" s="305"/>
      <c r="G116" s="306"/>
      <c r="H116" s="303"/>
      <c r="I116" s="86">
        <f>H114</f>
        <v>100</v>
      </c>
      <c r="J116" s="20"/>
      <c r="K116" s="466" t="s">
        <v>644</v>
      </c>
      <c r="L116" s="20"/>
      <c r="M116" s="124"/>
      <c r="N116" s="124"/>
      <c r="O116" s="303"/>
      <c r="P116" s="18">
        <f>(O115+O114)/2</f>
        <v>91.894022904035779</v>
      </c>
      <c r="Q116" s="18">
        <f>(I116+P116)/2</f>
        <v>95.94701145201789</v>
      </c>
      <c r="R116" s="447" t="s">
        <v>112</v>
      </c>
      <c r="S116" s="512"/>
      <c r="T116" s="318"/>
      <c r="U116" s="315"/>
    </row>
    <row r="117" spans="1:21" ht="66" customHeight="1" x14ac:dyDescent="0.25">
      <c r="A117" s="506"/>
      <c r="B117" s="509"/>
      <c r="C117" s="432" t="s">
        <v>140</v>
      </c>
      <c r="D117" s="34" t="s">
        <v>547</v>
      </c>
      <c r="E117" s="432"/>
      <c r="F117" s="259"/>
      <c r="G117" s="259"/>
      <c r="H117" s="237"/>
      <c r="I117" s="246"/>
      <c r="J117" s="432" t="s">
        <v>129</v>
      </c>
      <c r="K117" s="34" t="s">
        <v>547</v>
      </c>
      <c r="L117" s="434"/>
      <c r="M117" s="434"/>
      <c r="N117" s="434"/>
      <c r="O117" s="237"/>
      <c r="P117" s="246"/>
      <c r="Q117" s="246"/>
      <c r="R117" s="432"/>
      <c r="S117" s="512"/>
      <c r="T117" s="318"/>
      <c r="U117" s="60"/>
    </row>
    <row r="118" spans="1:21" ht="33" customHeight="1" x14ac:dyDescent="0.25">
      <c r="A118" s="506"/>
      <c r="B118" s="509"/>
      <c r="C118" s="517" t="s">
        <v>142</v>
      </c>
      <c r="D118" s="519" t="s">
        <v>546</v>
      </c>
      <c r="E118" s="520" t="s">
        <v>216</v>
      </c>
      <c r="F118" s="521">
        <f>129/178915*1000</f>
        <v>0.72101277142777298</v>
      </c>
      <c r="G118" s="521">
        <f>1335/178915*1000</f>
        <v>7.4616437973339291</v>
      </c>
      <c r="H118" s="523">
        <f>IF(G118/F118*100&gt;100,100,G118/F118*100)</f>
        <v>100</v>
      </c>
      <c r="I118" s="516"/>
      <c r="J118" s="434" t="s">
        <v>142</v>
      </c>
      <c r="K118" s="440" t="s">
        <v>213</v>
      </c>
      <c r="L118" s="434" t="s">
        <v>216</v>
      </c>
      <c r="M118" s="258">
        <v>129</v>
      </c>
      <c r="N118" s="258">
        <v>105</v>
      </c>
      <c r="O118" s="435">
        <f>IF(N118/M118*100&gt;110,110,N118/M118*100)</f>
        <v>81.395348837209298</v>
      </c>
      <c r="P118" s="239"/>
      <c r="Q118" s="246"/>
      <c r="R118" s="432"/>
      <c r="S118" s="512"/>
      <c r="T118" s="318"/>
      <c r="U118" s="60"/>
    </row>
    <row r="119" spans="1:21" ht="63.75" customHeight="1" x14ac:dyDescent="0.25">
      <c r="A119" s="506"/>
      <c r="B119" s="509"/>
      <c r="C119" s="518"/>
      <c r="D119" s="519"/>
      <c r="E119" s="520"/>
      <c r="F119" s="522"/>
      <c r="G119" s="522">
        <f>140/183865*1000</f>
        <v>0.7614282217931635</v>
      </c>
      <c r="H119" s="523" t="e">
        <f>IF(G119/F119*100&gt;100,100,G119/F119*100)</f>
        <v>#DIV/0!</v>
      </c>
      <c r="I119" s="516"/>
      <c r="J119" s="434" t="s">
        <v>188</v>
      </c>
      <c r="K119" s="440" t="s">
        <v>545</v>
      </c>
      <c r="L119" s="434" t="s">
        <v>20</v>
      </c>
      <c r="M119" s="258">
        <v>33461</v>
      </c>
      <c r="N119" s="258">
        <v>35456</v>
      </c>
      <c r="O119" s="435">
        <f>IF(N119/M119*100&gt;110,110,N119/M119*100)</f>
        <v>105.96216490840082</v>
      </c>
      <c r="P119" s="246"/>
      <c r="Q119" s="246"/>
      <c r="R119" s="432"/>
      <c r="S119" s="512"/>
      <c r="T119" s="318"/>
      <c r="U119" s="60"/>
    </row>
    <row r="120" spans="1:21" s="60" customFormat="1" ht="53.25" customHeight="1" x14ac:dyDescent="0.25">
      <c r="A120" s="507"/>
      <c r="B120" s="510"/>
      <c r="C120" s="257"/>
      <c r="D120" s="466" t="s">
        <v>644</v>
      </c>
      <c r="E120" s="20"/>
      <c r="F120" s="304"/>
      <c r="G120" s="304"/>
      <c r="H120" s="303"/>
      <c r="I120" s="86">
        <f>H118</f>
        <v>100</v>
      </c>
      <c r="J120" s="20"/>
      <c r="K120" s="466" t="s">
        <v>644</v>
      </c>
      <c r="L120" s="20"/>
      <c r="M120" s="124"/>
      <c r="N120" s="124"/>
      <c r="O120" s="303"/>
      <c r="P120" s="18">
        <f>(O119+O118)/2</f>
        <v>93.678756872805053</v>
      </c>
      <c r="Q120" s="18">
        <f>(I120+P120)/2</f>
        <v>96.839378436402527</v>
      </c>
      <c r="R120" s="447" t="s">
        <v>112</v>
      </c>
      <c r="S120" s="512"/>
      <c r="T120" s="318"/>
    </row>
    <row r="121" spans="1:21" s="243" customFormat="1" ht="102.75" customHeight="1" x14ac:dyDescent="0.25">
      <c r="A121" s="505" t="s">
        <v>59</v>
      </c>
      <c r="B121" s="508" t="s">
        <v>544</v>
      </c>
      <c r="C121" s="431" t="s">
        <v>13</v>
      </c>
      <c r="D121" s="34" t="s">
        <v>516</v>
      </c>
      <c r="E121" s="434"/>
      <c r="F121" s="240"/>
      <c r="G121" s="240"/>
      <c r="H121" s="237"/>
      <c r="I121" s="246"/>
      <c r="J121" s="432" t="s">
        <v>13</v>
      </c>
      <c r="K121" s="34" t="str">
        <f>D121</f>
        <v>Реализация дополнительных общеобразовательных предпрофессиональных программ в области искусств - фортепиано</v>
      </c>
      <c r="L121" s="432"/>
      <c r="M121" s="245"/>
      <c r="N121" s="245"/>
      <c r="O121" s="237"/>
      <c r="P121" s="244"/>
      <c r="Q121" s="436"/>
      <c r="R121" s="432"/>
      <c r="S121" s="512" t="s">
        <v>104</v>
      </c>
      <c r="T121" s="318"/>
      <c r="U121" s="316"/>
    </row>
    <row r="122" spans="1:21" ht="116.25" customHeight="1" x14ac:dyDescent="0.25">
      <c r="A122" s="506"/>
      <c r="B122" s="509"/>
      <c r="C122" s="19" t="s">
        <v>16</v>
      </c>
      <c r="D122" s="440" t="s">
        <v>510</v>
      </c>
      <c r="E122" s="434" t="s">
        <v>18</v>
      </c>
      <c r="F122" s="249" t="s">
        <v>509</v>
      </c>
      <c r="G122" s="435">
        <v>59</v>
      </c>
      <c r="H122" s="435">
        <v>100</v>
      </c>
      <c r="I122" s="239"/>
      <c r="J122" s="434" t="s">
        <v>16</v>
      </c>
      <c r="K122" s="440" t="s">
        <v>503</v>
      </c>
      <c r="L122" s="434" t="s">
        <v>507</v>
      </c>
      <c r="M122" s="248">
        <v>19023.5</v>
      </c>
      <c r="N122" s="242">
        <v>18748</v>
      </c>
      <c r="O122" s="435">
        <f>IF(N122/M122*100&gt;110,110,N122/M122*100)</f>
        <v>98.551791205614109</v>
      </c>
      <c r="P122" s="244"/>
      <c r="Q122" s="436"/>
      <c r="R122" s="432"/>
      <c r="S122" s="512"/>
      <c r="T122" s="318"/>
      <c r="U122" s="60"/>
    </row>
    <row r="123" spans="1:21" ht="84" customHeight="1" x14ac:dyDescent="0.25">
      <c r="A123" s="506"/>
      <c r="B123" s="509"/>
      <c r="C123" s="19" t="s">
        <v>21</v>
      </c>
      <c r="D123" s="440" t="s">
        <v>502</v>
      </c>
      <c r="E123" s="434" t="s">
        <v>18</v>
      </c>
      <c r="F123" s="249" t="s">
        <v>513</v>
      </c>
      <c r="G123" s="439">
        <v>0</v>
      </c>
      <c r="H123" s="435">
        <v>100</v>
      </c>
      <c r="I123" s="239"/>
      <c r="J123" s="434"/>
      <c r="K123" s="440"/>
      <c r="L123" s="438"/>
      <c r="M123" s="434"/>
      <c r="N123" s="434"/>
      <c r="O123" s="435"/>
      <c r="P123" s="244"/>
      <c r="Q123" s="436"/>
      <c r="R123" s="432"/>
      <c r="S123" s="512"/>
      <c r="T123" s="318"/>
      <c r="U123" s="60"/>
    </row>
    <row r="124" spans="1:21" s="60" customFormat="1" ht="53.25" customHeight="1" x14ac:dyDescent="0.25">
      <c r="A124" s="506"/>
      <c r="B124" s="509"/>
      <c r="C124" s="128"/>
      <c r="D124" s="466" t="s">
        <v>644</v>
      </c>
      <c r="E124" s="20"/>
      <c r="F124" s="305"/>
      <c r="G124" s="306"/>
      <c r="H124" s="303"/>
      <c r="I124" s="86">
        <f>(H122+H123)/2</f>
        <v>100</v>
      </c>
      <c r="J124" s="20"/>
      <c r="K124" s="466" t="s">
        <v>644</v>
      </c>
      <c r="L124" s="20"/>
      <c r="M124" s="124"/>
      <c r="N124" s="124"/>
      <c r="O124" s="303"/>
      <c r="P124" s="18">
        <f>O122</f>
        <v>98.551791205614109</v>
      </c>
      <c r="Q124" s="18">
        <f>(I124+P124)/2</f>
        <v>99.275895602807054</v>
      </c>
      <c r="R124" s="447" t="s">
        <v>112</v>
      </c>
      <c r="S124" s="512"/>
      <c r="T124" s="318"/>
      <c r="U124" s="315"/>
    </row>
    <row r="125" spans="1:21" s="243" customFormat="1" ht="123" customHeight="1" x14ac:dyDescent="0.25">
      <c r="A125" s="506"/>
      <c r="B125" s="509"/>
      <c r="C125" s="431" t="s">
        <v>26</v>
      </c>
      <c r="D125" s="34" t="s">
        <v>523</v>
      </c>
      <c r="E125" s="434"/>
      <c r="F125" s="240"/>
      <c r="G125" s="240"/>
      <c r="H125" s="237"/>
      <c r="I125" s="246"/>
      <c r="J125" s="432" t="s">
        <v>26</v>
      </c>
      <c r="K125" s="34" t="str">
        <f>D125</f>
        <v>Реализация дополнительных общеобразовательных предпрофессиональных программ в области искусств - духовые и ударные инструменты</v>
      </c>
      <c r="L125" s="432"/>
      <c r="M125" s="245"/>
      <c r="N125" s="245"/>
      <c r="O125" s="237"/>
      <c r="P125" s="244"/>
      <c r="Q125" s="436"/>
      <c r="R125" s="432"/>
      <c r="S125" s="512"/>
      <c r="T125" s="318"/>
      <c r="U125" s="316"/>
    </row>
    <row r="126" spans="1:21" ht="116.25" customHeight="1" x14ac:dyDescent="0.25">
      <c r="A126" s="506"/>
      <c r="B126" s="509"/>
      <c r="C126" s="19" t="s">
        <v>28</v>
      </c>
      <c r="D126" s="440" t="s">
        <v>510</v>
      </c>
      <c r="E126" s="434" t="s">
        <v>18</v>
      </c>
      <c r="F126" s="249" t="s">
        <v>509</v>
      </c>
      <c r="G126" s="435">
        <v>59</v>
      </c>
      <c r="H126" s="435">
        <v>100</v>
      </c>
      <c r="I126" s="239"/>
      <c r="J126" s="434" t="s">
        <v>28</v>
      </c>
      <c r="K126" s="440" t="s">
        <v>503</v>
      </c>
      <c r="L126" s="434" t="s">
        <v>507</v>
      </c>
      <c r="M126" s="248">
        <v>16672.5</v>
      </c>
      <c r="N126" s="242">
        <v>16447</v>
      </c>
      <c r="O126" s="435">
        <f>IF(N126/M126*100&gt;110,110,N126/M126*100)</f>
        <v>98.647473384315489</v>
      </c>
      <c r="P126" s="244"/>
      <c r="Q126" s="436"/>
      <c r="R126" s="432"/>
      <c r="S126" s="512"/>
      <c r="T126" s="318"/>
      <c r="U126" s="60"/>
    </row>
    <row r="127" spans="1:21" ht="74.25" customHeight="1" x14ac:dyDescent="0.25">
      <c r="A127" s="506"/>
      <c r="B127" s="509"/>
      <c r="C127" s="19" t="s">
        <v>30</v>
      </c>
      <c r="D127" s="440" t="s">
        <v>502</v>
      </c>
      <c r="E127" s="434" t="s">
        <v>18</v>
      </c>
      <c r="F127" s="249" t="s">
        <v>513</v>
      </c>
      <c r="G127" s="439">
        <v>0</v>
      </c>
      <c r="H127" s="435">
        <v>100</v>
      </c>
      <c r="I127" s="239"/>
      <c r="J127" s="434"/>
      <c r="K127" s="440"/>
      <c r="L127" s="438"/>
      <c r="M127" s="245"/>
      <c r="N127" s="245"/>
      <c r="O127" s="435"/>
      <c r="P127" s="256"/>
      <c r="Q127" s="436"/>
      <c r="R127" s="432"/>
      <c r="S127" s="512"/>
      <c r="T127" s="318"/>
      <c r="U127" s="60"/>
    </row>
    <row r="128" spans="1:21" s="60" customFormat="1" ht="53.25" customHeight="1" x14ac:dyDescent="0.25">
      <c r="A128" s="506"/>
      <c r="B128" s="509"/>
      <c r="C128" s="128"/>
      <c r="D128" s="466" t="s">
        <v>644</v>
      </c>
      <c r="E128" s="20"/>
      <c r="F128" s="305"/>
      <c r="G128" s="306"/>
      <c r="H128" s="303"/>
      <c r="I128" s="86">
        <f>(H126+H127)/2</f>
        <v>100</v>
      </c>
      <c r="J128" s="20"/>
      <c r="K128" s="466" t="s">
        <v>644</v>
      </c>
      <c r="L128" s="20"/>
      <c r="M128" s="124"/>
      <c r="N128" s="124"/>
      <c r="O128" s="303"/>
      <c r="P128" s="18">
        <f>O126</f>
        <v>98.647473384315489</v>
      </c>
      <c r="Q128" s="18">
        <f>(I128+P128)/2</f>
        <v>99.323736692157752</v>
      </c>
      <c r="R128" s="447" t="s">
        <v>112</v>
      </c>
      <c r="S128" s="512"/>
      <c r="T128" s="318"/>
      <c r="U128" s="315"/>
    </row>
    <row r="129" spans="1:21" s="243" customFormat="1" ht="97.5" customHeight="1" x14ac:dyDescent="0.25">
      <c r="A129" s="506"/>
      <c r="B129" s="509"/>
      <c r="C129" s="431" t="s">
        <v>36</v>
      </c>
      <c r="D129" s="34" t="s">
        <v>522</v>
      </c>
      <c r="E129" s="434"/>
      <c r="F129" s="240"/>
      <c r="G129" s="240"/>
      <c r="H129" s="237"/>
      <c r="I129" s="246"/>
      <c r="J129" s="432" t="str">
        <f>C129</f>
        <v>III</v>
      </c>
      <c r="K129" s="34" t="str">
        <f>D129</f>
        <v>Реализация дополнительных общеобразовательных предпрофессиональных программ в области искусств - струнные инструменты</v>
      </c>
      <c r="L129" s="432"/>
      <c r="M129" s="245"/>
      <c r="N129" s="245"/>
      <c r="O129" s="237"/>
      <c r="P129" s="244"/>
      <c r="Q129" s="436"/>
      <c r="R129" s="432"/>
      <c r="S129" s="512"/>
      <c r="T129" s="318"/>
      <c r="U129" s="316"/>
    </row>
    <row r="130" spans="1:21" ht="117" customHeight="1" x14ac:dyDescent="0.25">
      <c r="A130" s="506"/>
      <c r="B130" s="509"/>
      <c r="C130" s="19" t="s">
        <v>38</v>
      </c>
      <c r="D130" s="440" t="s">
        <v>510</v>
      </c>
      <c r="E130" s="434" t="s">
        <v>18</v>
      </c>
      <c r="F130" s="444" t="s">
        <v>509</v>
      </c>
      <c r="G130" s="435">
        <v>59</v>
      </c>
      <c r="H130" s="435">
        <v>100</v>
      </c>
      <c r="I130" s="239"/>
      <c r="J130" s="434" t="str">
        <f>C130</f>
        <v>3.1.</v>
      </c>
      <c r="K130" s="440" t="s">
        <v>503</v>
      </c>
      <c r="L130" s="434" t="s">
        <v>507</v>
      </c>
      <c r="M130" s="248">
        <v>18408</v>
      </c>
      <c r="N130" s="248">
        <v>18408</v>
      </c>
      <c r="O130" s="435">
        <f>IF(N130/M130*100&gt;110,110,N130/M130*100)</f>
        <v>100</v>
      </c>
      <c r="P130" s="238"/>
      <c r="Q130" s="436"/>
      <c r="R130" s="432"/>
      <c r="S130" s="512"/>
      <c r="T130" s="318"/>
      <c r="U130" s="60"/>
    </row>
    <row r="131" spans="1:21" ht="66" customHeight="1" x14ac:dyDescent="0.25">
      <c r="A131" s="506"/>
      <c r="B131" s="509"/>
      <c r="C131" s="19" t="s">
        <v>118</v>
      </c>
      <c r="D131" s="440" t="s">
        <v>502</v>
      </c>
      <c r="E131" s="434" t="s">
        <v>18</v>
      </c>
      <c r="F131" s="249" t="s">
        <v>513</v>
      </c>
      <c r="G131" s="439">
        <v>0</v>
      </c>
      <c r="H131" s="435">
        <v>100</v>
      </c>
      <c r="I131" s="239"/>
      <c r="J131" s="434"/>
      <c r="K131" s="434"/>
      <c r="L131" s="438"/>
      <c r="M131" s="434"/>
      <c r="N131" s="434"/>
      <c r="O131" s="435"/>
      <c r="P131" s="238"/>
      <c r="Q131" s="436"/>
      <c r="R131" s="432"/>
      <c r="S131" s="512"/>
      <c r="T131" s="318"/>
      <c r="U131" s="60"/>
    </row>
    <row r="132" spans="1:21" s="60" customFormat="1" ht="53.25" customHeight="1" x14ac:dyDescent="0.25">
      <c r="A132" s="506"/>
      <c r="B132" s="509"/>
      <c r="C132" s="128"/>
      <c r="D132" s="466" t="s">
        <v>644</v>
      </c>
      <c r="E132" s="20"/>
      <c r="F132" s="305"/>
      <c r="G132" s="306"/>
      <c r="H132" s="303"/>
      <c r="I132" s="86">
        <f>(H130+H131)/2</f>
        <v>100</v>
      </c>
      <c r="J132" s="20"/>
      <c r="K132" s="466" t="s">
        <v>644</v>
      </c>
      <c r="L132" s="20"/>
      <c r="M132" s="124"/>
      <c r="N132" s="124"/>
      <c r="O132" s="303"/>
      <c r="P132" s="18">
        <f>O130</f>
        <v>100</v>
      </c>
      <c r="Q132" s="18">
        <f>(I132+P132)/2</f>
        <v>100</v>
      </c>
      <c r="R132" s="447" t="s">
        <v>25</v>
      </c>
      <c r="S132" s="512"/>
      <c r="T132" s="318"/>
      <c r="U132" s="315"/>
    </row>
    <row r="133" spans="1:21" s="243" customFormat="1" ht="99.75" customHeight="1" x14ac:dyDescent="0.25">
      <c r="A133" s="506"/>
      <c r="B133" s="509"/>
      <c r="C133" s="431" t="s">
        <v>123</v>
      </c>
      <c r="D133" s="34" t="s">
        <v>515</v>
      </c>
      <c r="E133" s="434"/>
      <c r="F133" s="240"/>
      <c r="G133" s="240"/>
      <c r="H133" s="237"/>
      <c r="I133" s="246"/>
      <c r="J133" s="432" t="str">
        <f>C133</f>
        <v>IV</v>
      </c>
      <c r="K133" s="34" t="str">
        <f>D133</f>
        <v>Реализация дополнительных общеобразовательных предпрофессиональных программ в области искусств - народные инструменты</v>
      </c>
      <c r="L133" s="432"/>
      <c r="M133" s="245"/>
      <c r="N133" s="245"/>
      <c r="O133" s="237"/>
      <c r="P133" s="244"/>
      <c r="Q133" s="436"/>
      <c r="R133" s="130"/>
      <c r="S133" s="512"/>
      <c r="T133" s="318"/>
      <c r="U133" s="316"/>
    </row>
    <row r="134" spans="1:21" ht="126" customHeight="1" x14ac:dyDescent="0.25">
      <c r="A134" s="506"/>
      <c r="B134" s="509"/>
      <c r="C134" s="19" t="s">
        <v>124</v>
      </c>
      <c r="D134" s="440" t="s">
        <v>510</v>
      </c>
      <c r="E134" s="434" t="s">
        <v>18</v>
      </c>
      <c r="F134" s="444" t="s">
        <v>509</v>
      </c>
      <c r="G134" s="435">
        <v>59</v>
      </c>
      <c r="H134" s="435">
        <v>100</v>
      </c>
      <c r="I134" s="239"/>
      <c r="J134" s="434" t="str">
        <f>C134</f>
        <v>4.1.</v>
      </c>
      <c r="K134" s="440" t="s">
        <v>503</v>
      </c>
      <c r="L134" s="434" t="s">
        <v>507</v>
      </c>
      <c r="M134" s="248">
        <v>15795</v>
      </c>
      <c r="N134" s="248">
        <v>15502.5</v>
      </c>
      <c r="O134" s="435">
        <f>IF(N134/M134*100&gt;110,110,N134/M134*100)</f>
        <v>98.148148148148152</v>
      </c>
      <c r="P134" s="238"/>
      <c r="Q134" s="436"/>
      <c r="R134" s="432"/>
      <c r="S134" s="512"/>
      <c r="T134" s="318"/>
      <c r="U134" s="60"/>
    </row>
    <row r="135" spans="1:21" ht="73.5" customHeight="1" x14ac:dyDescent="0.25">
      <c r="A135" s="506"/>
      <c r="B135" s="509"/>
      <c r="C135" s="19" t="s">
        <v>127</v>
      </c>
      <c r="D135" s="440" t="s">
        <v>502</v>
      </c>
      <c r="E135" s="434" t="s">
        <v>18</v>
      </c>
      <c r="F135" s="249" t="s">
        <v>513</v>
      </c>
      <c r="G135" s="439">
        <v>0</v>
      </c>
      <c r="H135" s="435">
        <v>100</v>
      </c>
      <c r="I135" s="239"/>
      <c r="J135" s="434"/>
      <c r="K135" s="434"/>
      <c r="L135" s="438"/>
      <c r="M135" s="434"/>
      <c r="N135" s="434"/>
      <c r="O135" s="435"/>
      <c r="P135" s="238"/>
      <c r="Q135" s="436"/>
      <c r="R135" s="432"/>
      <c r="S135" s="512"/>
      <c r="T135" s="318"/>
      <c r="U135" s="60"/>
    </row>
    <row r="136" spans="1:21" s="60" customFormat="1" ht="53.25" customHeight="1" x14ac:dyDescent="0.25">
      <c r="A136" s="506"/>
      <c r="B136" s="509"/>
      <c r="C136" s="128"/>
      <c r="D136" s="466" t="s">
        <v>644</v>
      </c>
      <c r="E136" s="20"/>
      <c r="F136" s="305"/>
      <c r="G136" s="306"/>
      <c r="H136" s="303"/>
      <c r="I136" s="86">
        <f>(H134+H135)/2</f>
        <v>100</v>
      </c>
      <c r="J136" s="20"/>
      <c r="K136" s="466" t="s">
        <v>644</v>
      </c>
      <c r="L136" s="20"/>
      <c r="M136" s="124"/>
      <c r="N136" s="124"/>
      <c r="O136" s="303"/>
      <c r="P136" s="18">
        <f>O134</f>
        <v>98.148148148148152</v>
      </c>
      <c r="Q136" s="18">
        <f>(I136+P136)/2</f>
        <v>99.074074074074076</v>
      </c>
      <c r="R136" s="447" t="s">
        <v>112</v>
      </c>
      <c r="S136" s="512"/>
      <c r="T136" s="318"/>
      <c r="U136" s="315"/>
    </row>
    <row r="137" spans="1:21" s="60" customFormat="1" ht="90" customHeight="1" x14ac:dyDescent="0.25">
      <c r="A137" s="506"/>
      <c r="B137" s="509"/>
      <c r="C137" s="145" t="s">
        <v>129</v>
      </c>
      <c r="D137" s="59" t="s">
        <v>527</v>
      </c>
      <c r="E137" s="19"/>
      <c r="F137" s="323"/>
      <c r="G137" s="323"/>
      <c r="H137" s="322"/>
      <c r="I137" s="67"/>
      <c r="J137" s="431" t="str">
        <f>C137</f>
        <v>V</v>
      </c>
      <c r="K137" s="59" t="str">
        <f>D137</f>
        <v>Реализация дополнительных общеобразовательных предпрофессиональных программ в области искусств - музыкальный фольклор</v>
      </c>
      <c r="L137" s="431"/>
      <c r="M137" s="96"/>
      <c r="N137" s="96"/>
      <c r="O137" s="322"/>
      <c r="P137" s="324"/>
      <c r="Q137" s="35"/>
      <c r="R137" s="121"/>
      <c r="S137" s="512"/>
      <c r="T137" s="318"/>
      <c r="U137" s="315"/>
    </row>
    <row r="138" spans="1:21" s="60" customFormat="1" ht="135" customHeight="1" x14ac:dyDescent="0.25">
      <c r="A138" s="506"/>
      <c r="B138" s="509"/>
      <c r="C138" s="120" t="s">
        <v>543</v>
      </c>
      <c r="D138" s="41" t="s">
        <v>510</v>
      </c>
      <c r="E138" s="19" t="s">
        <v>18</v>
      </c>
      <c r="F138" s="24" t="s">
        <v>509</v>
      </c>
      <c r="G138" s="321">
        <v>59</v>
      </c>
      <c r="H138" s="321">
        <v>100</v>
      </c>
      <c r="I138" s="63"/>
      <c r="J138" s="19" t="str">
        <f>C138</f>
        <v>5.1</v>
      </c>
      <c r="K138" s="41" t="s">
        <v>503</v>
      </c>
      <c r="L138" s="19" t="s">
        <v>507</v>
      </c>
      <c r="M138" s="325">
        <v>7332</v>
      </c>
      <c r="N138" s="325">
        <v>6721</v>
      </c>
      <c r="O138" s="321">
        <f>IF(N138/M138*100&gt;110,110,N138/M138*100)</f>
        <v>91.666666666666657</v>
      </c>
      <c r="P138" s="326"/>
      <c r="Q138" s="35"/>
      <c r="R138" s="431"/>
      <c r="S138" s="512"/>
      <c r="T138" s="318"/>
      <c r="U138" s="315"/>
    </row>
    <row r="139" spans="1:21" s="60" customFormat="1" ht="61.5" customHeight="1" x14ac:dyDescent="0.25">
      <c r="A139" s="506"/>
      <c r="B139" s="509"/>
      <c r="C139" s="120" t="s">
        <v>542</v>
      </c>
      <c r="D139" s="41" t="s">
        <v>502</v>
      </c>
      <c r="E139" s="19" t="s">
        <v>18</v>
      </c>
      <c r="F139" s="64" t="s">
        <v>513</v>
      </c>
      <c r="G139" s="131">
        <v>0</v>
      </c>
      <c r="H139" s="321">
        <v>100</v>
      </c>
      <c r="I139" s="63"/>
      <c r="J139" s="19"/>
      <c r="K139" s="19"/>
      <c r="L139" s="153"/>
      <c r="M139" s="19"/>
      <c r="N139" s="19"/>
      <c r="O139" s="321"/>
      <c r="P139" s="326"/>
      <c r="Q139" s="35"/>
      <c r="R139" s="431"/>
      <c r="S139" s="512"/>
      <c r="T139" s="318"/>
      <c r="U139" s="315"/>
    </row>
    <row r="140" spans="1:21" s="60" customFormat="1" ht="53.25" customHeight="1" x14ac:dyDescent="0.25">
      <c r="A140" s="506"/>
      <c r="B140" s="509"/>
      <c r="C140" s="128"/>
      <c r="D140" s="466" t="s">
        <v>644</v>
      </c>
      <c r="E140" s="20"/>
      <c r="F140" s="305"/>
      <c r="G140" s="306"/>
      <c r="H140" s="303"/>
      <c r="I140" s="86">
        <f>(H138+H139)/2</f>
        <v>100</v>
      </c>
      <c r="J140" s="20"/>
      <c r="K140" s="466" t="s">
        <v>644</v>
      </c>
      <c r="L140" s="20"/>
      <c r="M140" s="124"/>
      <c r="N140" s="124"/>
      <c r="O140" s="303"/>
      <c r="P140" s="18">
        <f>O138</f>
        <v>91.666666666666657</v>
      </c>
      <c r="Q140" s="18">
        <f>(I140+P140)/2</f>
        <v>95.833333333333329</v>
      </c>
      <c r="R140" s="447" t="s">
        <v>112</v>
      </c>
      <c r="S140" s="512"/>
      <c r="T140" s="318"/>
      <c r="U140" s="315"/>
    </row>
    <row r="141" spans="1:21" s="60" customFormat="1" ht="90" customHeight="1" x14ac:dyDescent="0.25">
      <c r="A141" s="506"/>
      <c r="B141" s="509"/>
      <c r="C141" s="145" t="s">
        <v>140</v>
      </c>
      <c r="D141" s="59" t="s">
        <v>541</v>
      </c>
      <c r="E141" s="19"/>
      <c r="F141" s="323"/>
      <c r="G141" s="323"/>
      <c r="H141" s="322"/>
      <c r="I141" s="67"/>
      <c r="J141" s="431" t="str">
        <f>C141</f>
        <v>VI</v>
      </c>
      <c r="K141" s="59" t="str">
        <f>D141</f>
        <v>Реализация дополнительных общеобразовательных предпрофессиональных программ в области искусств - хоровое пение</v>
      </c>
      <c r="L141" s="431"/>
      <c r="M141" s="96"/>
      <c r="N141" s="96"/>
      <c r="O141" s="322"/>
      <c r="P141" s="324"/>
      <c r="Q141" s="35"/>
      <c r="R141" s="121"/>
      <c r="S141" s="512"/>
      <c r="T141" s="318"/>
      <c r="U141" s="315"/>
    </row>
    <row r="142" spans="1:21" s="60" customFormat="1" ht="135" customHeight="1" x14ac:dyDescent="0.25">
      <c r="A142" s="506"/>
      <c r="B142" s="509"/>
      <c r="C142" s="120" t="s">
        <v>393</v>
      </c>
      <c r="D142" s="41" t="s">
        <v>510</v>
      </c>
      <c r="E142" s="19" t="s">
        <v>18</v>
      </c>
      <c r="F142" s="24" t="s">
        <v>509</v>
      </c>
      <c r="G142" s="321">
        <v>59</v>
      </c>
      <c r="H142" s="321">
        <v>100</v>
      </c>
      <c r="I142" s="63"/>
      <c r="J142" s="19" t="str">
        <f>C142</f>
        <v>6.1</v>
      </c>
      <c r="K142" s="41" t="s">
        <v>503</v>
      </c>
      <c r="L142" s="19" t="s">
        <v>507</v>
      </c>
      <c r="M142" s="325">
        <v>4329</v>
      </c>
      <c r="N142" s="325">
        <v>4870</v>
      </c>
      <c r="O142" s="321">
        <f>IF(N142/M142*100&gt;110,110,N142/M142*100)</f>
        <v>110</v>
      </c>
      <c r="P142" s="326"/>
      <c r="Q142" s="35"/>
      <c r="R142" s="431"/>
      <c r="S142" s="512"/>
      <c r="T142" s="318"/>
      <c r="U142" s="315"/>
    </row>
    <row r="143" spans="1:21" s="60" customFormat="1" ht="61.5" customHeight="1" x14ac:dyDescent="0.25">
      <c r="A143" s="506"/>
      <c r="B143" s="509"/>
      <c r="C143" s="120" t="s">
        <v>540</v>
      </c>
      <c r="D143" s="41" t="s">
        <v>502</v>
      </c>
      <c r="E143" s="19" t="s">
        <v>18</v>
      </c>
      <c r="F143" s="64" t="s">
        <v>513</v>
      </c>
      <c r="G143" s="131">
        <v>0</v>
      </c>
      <c r="H143" s="321">
        <v>100</v>
      </c>
      <c r="I143" s="63"/>
      <c r="J143" s="19"/>
      <c r="K143" s="19"/>
      <c r="L143" s="153"/>
      <c r="M143" s="19"/>
      <c r="N143" s="19"/>
      <c r="O143" s="321"/>
      <c r="P143" s="326"/>
      <c r="Q143" s="35"/>
      <c r="R143" s="431"/>
      <c r="S143" s="512"/>
      <c r="T143" s="318"/>
      <c r="U143" s="315"/>
    </row>
    <row r="144" spans="1:21" s="60" customFormat="1" ht="53.25" customHeight="1" x14ac:dyDescent="0.25">
      <c r="A144" s="506"/>
      <c r="B144" s="509"/>
      <c r="C144" s="128"/>
      <c r="D144" s="466" t="s">
        <v>644</v>
      </c>
      <c r="E144" s="20"/>
      <c r="F144" s="305"/>
      <c r="G144" s="306"/>
      <c r="H144" s="303"/>
      <c r="I144" s="86">
        <f>(H142+H143)/2</f>
        <v>100</v>
      </c>
      <c r="J144" s="20"/>
      <c r="K144" s="466" t="s">
        <v>644</v>
      </c>
      <c r="L144" s="20"/>
      <c r="M144" s="124"/>
      <c r="N144" s="124"/>
      <c r="O144" s="303"/>
      <c r="P144" s="18">
        <f>O142</f>
        <v>110</v>
      </c>
      <c r="Q144" s="18">
        <f>(I144+P144)/2</f>
        <v>105</v>
      </c>
      <c r="R144" s="447" t="s">
        <v>25</v>
      </c>
      <c r="S144" s="512"/>
      <c r="T144" s="318"/>
      <c r="U144" s="315"/>
    </row>
    <row r="145" spans="1:21" s="243" customFormat="1" ht="75" customHeight="1" x14ac:dyDescent="0.25">
      <c r="A145" s="506"/>
      <c r="B145" s="509"/>
      <c r="C145" s="431" t="s">
        <v>144</v>
      </c>
      <c r="D145" s="34" t="s">
        <v>506</v>
      </c>
      <c r="E145" s="434"/>
      <c r="F145" s="240"/>
      <c r="G145" s="240"/>
      <c r="H145" s="237"/>
      <c r="I145" s="246"/>
      <c r="J145" s="432" t="str">
        <f>C145</f>
        <v>VII</v>
      </c>
      <c r="K145" s="34" t="str">
        <f>D145</f>
        <v>Реализация дополнительных общеобразовательных общеразвивающих программ</v>
      </c>
      <c r="L145" s="432"/>
      <c r="M145" s="245"/>
      <c r="N145" s="245"/>
      <c r="O145" s="237"/>
      <c r="P145" s="244"/>
      <c r="Q145" s="436"/>
      <c r="R145" s="432"/>
      <c r="S145" s="512"/>
      <c r="T145" s="318"/>
      <c r="U145" s="316"/>
    </row>
    <row r="146" spans="1:21" ht="105.75" customHeight="1" x14ac:dyDescent="0.25">
      <c r="A146" s="506"/>
      <c r="B146" s="509"/>
      <c r="C146" s="120" t="s">
        <v>483</v>
      </c>
      <c r="D146" s="440" t="s">
        <v>505</v>
      </c>
      <c r="E146" s="434" t="s">
        <v>18</v>
      </c>
      <c r="F146" s="444" t="s">
        <v>504</v>
      </c>
      <c r="G146" s="255">
        <v>41</v>
      </c>
      <c r="H146" s="435">
        <v>100</v>
      </c>
      <c r="I146" s="239"/>
      <c r="J146" s="434" t="str">
        <f>C146</f>
        <v>7.1</v>
      </c>
      <c r="K146" s="440" t="s">
        <v>503</v>
      </c>
      <c r="L146" s="434" t="s">
        <v>414</v>
      </c>
      <c r="M146" s="248">
        <v>48440</v>
      </c>
      <c r="N146" s="248">
        <v>47217</v>
      </c>
      <c r="O146" s="435">
        <f>IF(N146/M146*100&gt;110,110,N146/M146*100)</f>
        <v>97.475227085053675</v>
      </c>
      <c r="P146" s="238"/>
      <c r="Q146" s="436"/>
      <c r="R146" s="432"/>
      <c r="S146" s="512"/>
      <c r="T146" s="318"/>
      <c r="U146" s="60"/>
    </row>
    <row r="147" spans="1:21" ht="68.25" customHeight="1" x14ac:dyDescent="0.25">
      <c r="A147" s="506"/>
      <c r="B147" s="509"/>
      <c r="C147" s="120" t="s">
        <v>539</v>
      </c>
      <c r="D147" s="440" t="s">
        <v>502</v>
      </c>
      <c r="E147" s="434" t="s">
        <v>18</v>
      </c>
      <c r="F147" s="249" t="s">
        <v>513</v>
      </c>
      <c r="G147" s="439">
        <v>0</v>
      </c>
      <c r="H147" s="435">
        <v>100</v>
      </c>
      <c r="I147" s="239"/>
      <c r="J147" s="434"/>
      <c r="K147" s="440"/>
      <c r="L147" s="434"/>
      <c r="M147" s="434"/>
      <c r="N147" s="434"/>
      <c r="O147" s="435"/>
      <c r="P147" s="238"/>
      <c r="Q147" s="436"/>
      <c r="R147" s="432"/>
      <c r="S147" s="512"/>
      <c r="T147" s="318"/>
      <c r="U147" s="60"/>
    </row>
    <row r="148" spans="1:21" ht="25.5" customHeight="1" x14ac:dyDescent="0.25">
      <c r="A148" s="506"/>
      <c r="B148" s="509"/>
      <c r="C148" s="120" t="s">
        <v>538</v>
      </c>
      <c r="D148" s="440" t="s">
        <v>499</v>
      </c>
      <c r="E148" s="434" t="s">
        <v>20</v>
      </c>
      <c r="F148" s="439">
        <v>198</v>
      </c>
      <c r="G148" s="255">
        <v>193</v>
      </c>
      <c r="H148" s="435">
        <f>IF(G148/F148*100&gt;100,100,G148/F148*100)</f>
        <v>97.474747474747474</v>
      </c>
      <c r="I148" s="239"/>
      <c r="J148" s="434"/>
      <c r="K148" s="440"/>
      <c r="L148" s="434"/>
      <c r="M148" s="434"/>
      <c r="N148" s="434"/>
      <c r="O148" s="435"/>
      <c r="P148" s="238"/>
      <c r="Q148" s="436"/>
      <c r="R148" s="432"/>
      <c r="S148" s="512"/>
      <c r="T148" s="318"/>
      <c r="U148" s="60"/>
    </row>
    <row r="149" spans="1:21" s="60" customFormat="1" ht="53.25" customHeight="1" x14ac:dyDescent="0.25">
      <c r="A149" s="506"/>
      <c r="B149" s="509"/>
      <c r="C149" s="128"/>
      <c r="D149" s="466" t="s">
        <v>644</v>
      </c>
      <c r="E149" s="20"/>
      <c r="F149" s="305"/>
      <c r="G149" s="306"/>
      <c r="H149" s="303"/>
      <c r="I149" s="86">
        <f>(H146+H147+H148)/3</f>
        <v>99.158249158249149</v>
      </c>
      <c r="J149" s="20"/>
      <c r="K149" s="466" t="s">
        <v>644</v>
      </c>
      <c r="L149" s="20"/>
      <c r="M149" s="124"/>
      <c r="N149" s="124"/>
      <c r="O149" s="303"/>
      <c r="P149" s="18">
        <f>O146</f>
        <v>97.475227085053675</v>
      </c>
      <c r="Q149" s="18">
        <f>(I149+P149)/2</f>
        <v>98.316738121651412</v>
      </c>
      <c r="R149" s="447" t="s">
        <v>112</v>
      </c>
      <c r="S149" s="512"/>
      <c r="T149" s="318"/>
      <c r="U149" s="315"/>
    </row>
    <row r="150" spans="1:21" s="243" customFormat="1" ht="83.25" customHeight="1" x14ac:dyDescent="0.25">
      <c r="A150" s="505" t="s">
        <v>61</v>
      </c>
      <c r="B150" s="508" t="s">
        <v>537</v>
      </c>
      <c r="C150" s="431" t="s">
        <v>13</v>
      </c>
      <c r="D150" s="34" t="s">
        <v>512</v>
      </c>
      <c r="E150" s="434"/>
      <c r="F150" s="240"/>
      <c r="G150" s="240"/>
      <c r="H150" s="237"/>
      <c r="I150" s="246"/>
      <c r="J150" s="432" t="s">
        <v>13</v>
      </c>
      <c r="K150" s="34" t="str">
        <f>D150</f>
        <v>Реализация дополнительных общеобразовательных предпрофессиональных программ в области искусств - живопись</v>
      </c>
      <c r="L150" s="432"/>
      <c r="M150" s="245"/>
      <c r="N150" s="245"/>
      <c r="O150" s="237"/>
      <c r="P150" s="244"/>
      <c r="Q150" s="436"/>
      <c r="R150" s="432"/>
      <c r="S150" s="512" t="s">
        <v>104</v>
      </c>
      <c r="T150" s="318"/>
      <c r="U150" s="316"/>
    </row>
    <row r="151" spans="1:21" ht="118.5" customHeight="1" x14ac:dyDescent="0.25">
      <c r="A151" s="506"/>
      <c r="B151" s="509"/>
      <c r="C151" s="19" t="s">
        <v>16</v>
      </c>
      <c r="D151" s="440" t="s">
        <v>510</v>
      </c>
      <c r="E151" s="434" t="s">
        <v>18</v>
      </c>
      <c r="F151" s="249" t="s">
        <v>509</v>
      </c>
      <c r="G151" s="435">
        <v>62</v>
      </c>
      <c r="H151" s="435">
        <v>100</v>
      </c>
      <c r="I151" s="239"/>
      <c r="J151" s="434" t="s">
        <v>16</v>
      </c>
      <c r="K151" s="440" t="s">
        <v>503</v>
      </c>
      <c r="L151" s="434" t="s">
        <v>507</v>
      </c>
      <c r="M151" s="248">
        <v>83747</v>
      </c>
      <c r="N151" s="248">
        <v>81205</v>
      </c>
      <c r="O151" s="435">
        <f>IF(N151/M151*100&gt;110,110,N151/M151*100)</f>
        <v>96.964667391070719</v>
      </c>
      <c r="P151" s="238"/>
      <c r="Q151" s="436"/>
      <c r="R151" s="432"/>
      <c r="S151" s="512"/>
      <c r="T151" s="318"/>
      <c r="U151" s="60"/>
    </row>
    <row r="152" spans="1:21" ht="62.25" customHeight="1" x14ac:dyDescent="0.25">
      <c r="A152" s="506"/>
      <c r="B152" s="509"/>
      <c r="C152" s="19" t="s">
        <v>21</v>
      </c>
      <c r="D152" s="440" t="s">
        <v>502</v>
      </c>
      <c r="E152" s="434" t="s">
        <v>18</v>
      </c>
      <c r="F152" s="249" t="s">
        <v>513</v>
      </c>
      <c r="G152" s="439">
        <v>0</v>
      </c>
      <c r="H152" s="435">
        <v>100</v>
      </c>
      <c r="I152" s="239"/>
      <c r="J152" s="434"/>
      <c r="K152" s="434"/>
      <c r="L152" s="438"/>
      <c r="M152" s="434"/>
      <c r="N152" s="434"/>
      <c r="O152" s="435"/>
      <c r="P152" s="238"/>
      <c r="Q152" s="436"/>
      <c r="R152" s="432"/>
      <c r="S152" s="512"/>
      <c r="T152" s="318"/>
      <c r="U152" s="60"/>
    </row>
    <row r="153" spans="1:21" s="60" customFormat="1" ht="53.25" customHeight="1" x14ac:dyDescent="0.25">
      <c r="A153" s="506"/>
      <c r="B153" s="509"/>
      <c r="C153" s="128"/>
      <c r="D153" s="466" t="s">
        <v>644</v>
      </c>
      <c r="E153" s="20"/>
      <c r="F153" s="127"/>
      <c r="G153" s="306"/>
      <c r="H153" s="303"/>
      <c r="I153" s="86">
        <f>(H151+H152)/2</f>
        <v>100</v>
      </c>
      <c r="J153" s="20"/>
      <c r="K153" s="466" t="s">
        <v>644</v>
      </c>
      <c r="L153" s="20"/>
      <c r="M153" s="124"/>
      <c r="N153" s="124"/>
      <c r="O153" s="303"/>
      <c r="P153" s="18">
        <f>O151</f>
        <v>96.964667391070719</v>
      </c>
      <c r="Q153" s="18">
        <f>(I153+P153)/2</f>
        <v>98.48233369553536</v>
      </c>
      <c r="R153" s="447" t="s">
        <v>112</v>
      </c>
      <c r="S153" s="512"/>
      <c r="T153" s="318"/>
      <c r="U153" s="315"/>
    </row>
    <row r="154" spans="1:21" s="243" customFormat="1" ht="104.25" customHeight="1" x14ac:dyDescent="0.25">
      <c r="A154" s="506"/>
      <c r="B154" s="509"/>
      <c r="C154" s="431" t="s">
        <v>26</v>
      </c>
      <c r="D154" s="34" t="s">
        <v>521</v>
      </c>
      <c r="E154" s="434"/>
      <c r="F154" s="249"/>
      <c r="G154" s="240"/>
      <c r="H154" s="237"/>
      <c r="I154" s="246"/>
      <c r="J154" s="432" t="s">
        <v>26</v>
      </c>
      <c r="K154" s="34" t="str">
        <f>D154</f>
        <v>Реализация дополнительных общеобразовательных предпрофессиональных программ в области искусств - дизайн</v>
      </c>
      <c r="L154" s="432"/>
      <c r="M154" s="245"/>
      <c r="N154" s="245"/>
      <c r="O154" s="237"/>
      <c r="P154" s="244"/>
      <c r="Q154" s="436"/>
      <c r="R154" s="432"/>
      <c r="S154" s="512"/>
      <c r="T154" s="318"/>
      <c r="U154" s="316"/>
    </row>
    <row r="155" spans="1:21" ht="120" customHeight="1" x14ac:dyDescent="0.25">
      <c r="A155" s="506"/>
      <c r="B155" s="509"/>
      <c r="C155" s="19" t="s">
        <v>28</v>
      </c>
      <c r="D155" s="440" t="s">
        <v>510</v>
      </c>
      <c r="E155" s="434" t="s">
        <v>18</v>
      </c>
      <c r="F155" s="249" t="s">
        <v>509</v>
      </c>
      <c r="G155" s="435">
        <v>66</v>
      </c>
      <c r="H155" s="435">
        <v>100</v>
      </c>
      <c r="I155" s="239"/>
      <c r="J155" s="434" t="s">
        <v>28</v>
      </c>
      <c r="K155" s="440" t="s">
        <v>503</v>
      </c>
      <c r="L155" s="434" t="s">
        <v>507</v>
      </c>
      <c r="M155" s="248">
        <v>42629</v>
      </c>
      <c r="N155" s="248">
        <v>41257</v>
      </c>
      <c r="O155" s="435">
        <f>IF(N155/M155*100&gt;110,110,N155/M155*100)</f>
        <v>96.781533697717521</v>
      </c>
      <c r="P155" s="238"/>
      <c r="Q155" s="436"/>
      <c r="R155" s="432"/>
      <c r="S155" s="512"/>
      <c r="T155" s="318"/>
      <c r="U155" s="60"/>
    </row>
    <row r="156" spans="1:21" ht="79.5" customHeight="1" x14ac:dyDescent="0.25">
      <c r="A156" s="506"/>
      <c r="B156" s="509"/>
      <c r="C156" s="19" t="s">
        <v>30</v>
      </c>
      <c r="D156" s="440" t="s">
        <v>502</v>
      </c>
      <c r="E156" s="434" t="s">
        <v>18</v>
      </c>
      <c r="F156" s="249" t="s">
        <v>513</v>
      </c>
      <c r="G156" s="439">
        <v>0</v>
      </c>
      <c r="H156" s="435">
        <v>100</v>
      </c>
      <c r="I156" s="239"/>
      <c r="J156" s="434"/>
      <c r="K156" s="434"/>
      <c r="L156" s="438"/>
      <c r="M156" s="434"/>
      <c r="N156" s="434"/>
      <c r="O156" s="435"/>
      <c r="P156" s="238"/>
      <c r="Q156" s="436"/>
      <c r="R156" s="432"/>
      <c r="S156" s="512"/>
      <c r="T156" s="318"/>
      <c r="U156" s="60"/>
    </row>
    <row r="157" spans="1:21" s="60" customFormat="1" ht="53.25" customHeight="1" x14ac:dyDescent="0.25">
      <c r="A157" s="506"/>
      <c r="B157" s="509"/>
      <c r="C157" s="128"/>
      <c r="D157" s="466" t="s">
        <v>644</v>
      </c>
      <c r="E157" s="20"/>
      <c r="F157" s="127"/>
      <c r="G157" s="306"/>
      <c r="H157" s="303"/>
      <c r="I157" s="86">
        <f>(H155+H156)/2</f>
        <v>100</v>
      </c>
      <c r="J157" s="20"/>
      <c r="K157" s="466" t="s">
        <v>644</v>
      </c>
      <c r="L157" s="20"/>
      <c r="M157" s="124"/>
      <c r="N157" s="124"/>
      <c r="O157" s="303"/>
      <c r="P157" s="18">
        <f>O155</f>
        <v>96.781533697717521</v>
      </c>
      <c r="Q157" s="18">
        <f>(I157+P157)/2</f>
        <v>98.39076684885876</v>
      </c>
      <c r="R157" s="447" t="s">
        <v>112</v>
      </c>
      <c r="S157" s="512"/>
      <c r="T157" s="318"/>
      <c r="U157" s="315"/>
    </row>
    <row r="158" spans="1:21" s="243" customFormat="1" ht="104.25" customHeight="1" x14ac:dyDescent="0.25">
      <c r="A158" s="506"/>
      <c r="B158" s="509"/>
      <c r="C158" s="431" t="s">
        <v>36</v>
      </c>
      <c r="D158" s="34" t="s">
        <v>536</v>
      </c>
      <c r="E158" s="434"/>
      <c r="F158" s="249"/>
      <c r="G158" s="240"/>
      <c r="H158" s="237"/>
      <c r="I158" s="246"/>
      <c r="J158" s="432" t="s">
        <v>36</v>
      </c>
      <c r="K158" s="34" t="str">
        <f>D158</f>
        <v>Реализация дополнительных общеобразовательных предпрофессиональных программ в области искусств - декоративно-прикладное творчество</v>
      </c>
      <c r="L158" s="432"/>
      <c r="M158" s="245"/>
      <c r="N158" s="245"/>
      <c r="O158" s="237"/>
      <c r="P158" s="244"/>
      <c r="Q158" s="436"/>
      <c r="R158" s="432"/>
      <c r="S158" s="512"/>
      <c r="T158" s="318"/>
      <c r="U158" s="316"/>
    </row>
    <row r="159" spans="1:21" ht="120" customHeight="1" x14ac:dyDescent="0.25">
      <c r="A159" s="506"/>
      <c r="B159" s="509"/>
      <c r="C159" s="120" t="s">
        <v>535</v>
      </c>
      <c r="D159" s="440" t="s">
        <v>510</v>
      </c>
      <c r="E159" s="434" t="s">
        <v>18</v>
      </c>
      <c r="F159" s="249" t="s">
        <v>509</v>
      </c>
      <c r="G159" s="435">
        <v>50</v>
      </c>
      <c r="H159" s="435">
        <v>100</v>
      </c>
      <c r="I159" s="239"/>
      <c r="J159" s="136" t="str">
        <f>C159</f>
        <v>3.1</v>
      </c>
      <c r="K159" s="440" t="s">
        <v>503</v>
      </c>
      <c r="L159" s="434" t="s">
        <v>507</v>
      </c>
      <c r="M159" s="248">
        <v>13074</v>
      </c>
      <c r="N159" s="248">
        <v>13152</v>
      </c>
      <c r="O159" s="435">
        <f>IF(N159/M159*100&gt;110,110,N159/M159*100)</f>
        <v>100.59660394676457</v>
      </c>
      <c r="P159" s="238"/>
      <c r="Q159" s="436"/>
      <c r="R159" s="432"/>
      <c r="S159" s="512"/>
      <c r="T159" s="318"/>
      <c r="U159" s="60"/>
    </row>
    <row r="160" spans="1:21" ht="79.5" customHeight="1" x14ac:dyDescent="0.25">
      <c r="A160" s="506"/>
      <c r="B160" s="509"/>
      <c r="C160" s="120" t="s">
        <v>534</v>
      </c>
      <c r="D160" s="440" t="s">
        <v>502</v>
      </c>
      <c r="E160" s="434" t="s">
        <v>18</v>
      </c>
      <c r="F160" s="249" t="s">
        <v>513</v>
      </c>
      <c r="G160" s="439">
        <v>0</v>
      </c>
      <c r="H160" s="435">
        <v>100</v>
      </c>
      <c r="I160" s="239"/>
      <c r="J160" s="434"/>
      <c r="K160" s="434"/>
      <c r="L160" s="438"/>
      <c r="M160" s="434"/>
      <c r="N160" s="434"/>
      <c r="O160" s="435"/>
      <c r="P160" s="238"/>
      <c r="Q160" s="436"/>
      <c r="R160" s="432"/>
      <c r="S160" s="512"/>
      <c r="T160" s="318"/>
      <c r="U160" s="60"/>
    </row>
    <row r="161" spans="1:21" s="60" customFormat="1" ht="53.25" customHeight="1" x14ac:dyDescent="0.25">
      <c r="A161" s="506"/>
      <c r="B161" s="509"/>
      <c r="C161" s="128"/>
      <c r="D161" s="466" t="s">
        <v>644</v>
      </c>
      <c r="E161" s="20"/>
      <c r="F161" s="127"/>
      <c r="G161" s="306"/>
      <c r="H161" s="303"/>
      <c r="I161" s="86">
        <f>(H159+H160)/2</f>
        <v>100</v>
      </c>
      <c r="J161" s="20"/>
      <c r="K161" s="466" t="s">
        <v>644</v>
      </c>
      <c r="L161" s="20"/>
      <c r="M161" s="124"/>
      <c r="N161" s="124"/>
      <c r="O161" s="303"/>
      <c r="P161" s="18">
        <f>O159</f>
        <v>100.59660394676457</v>
      </c>
      <c r="Q161" s="18">
        <f>(I161+P161)/2</f>
        <v>100.29830197338228</v>
      </c>
      <c r="R161" s="447" t="s">
        <v>25</v>
      </c>
      <c r="S161" s="512"/>
      <c r="T161" s="318"/>
      <c r="U161" s="315"/>
    </row>
    <row r="162" spans="1:21" s="243" customFormat="1" ht="95.25" customHeight="1" x14ac:dyDescent="0.25">
      <c r="A162" s="506"/>
      <c r="B162" s="509"/>
      <c r="C162" s="431" t="s">
        <v>123</v>
      </c>
      <c r="D162" s="34" t="s">
        <v>506</v>
      </c>
      <c r="E162" s="434"/>
      <c r="F162" s="249"/>
      <c r="G162" s="240"/>
      <c r="H162" s="237"/>
      <c r="I162" s="246"/>
      <c r="J162" s="432" t="str">
        <f>C162</f>
        <v>IV</v>
      </c>
      <c r="K162" s="34" t="str">
        <f>D162</f>
        <v>Реализация дополнительных общеобразовательных общеразвивающих программ</v>
      </c>
      <c r="L162" s="432"/>
      <c r="M162" s="245"/>
      <c r="N162" s="245"/>
      <c r="O162" s="237"/>
      <c r="P162" s="244"/>
      <c r="Q162" s="436"/>
      <c r="R162" s="432"/>
      <c r="S162" s="512"/>
      <c r="T162" s="318"/>
      <c r="U162" s="316"/>
    </row>
    <row r="163" spans="1:21" ht="106.5" customHeight="1" x14ac:dyDescent="0.25">
      <c r="A163" s="506"/>
      <c r="B163" s="509"/>
      <c r="C163" s="120" t="s">
        <v>533</v>
      </c>
      <c r="D163" s="440" t="s">
        <v>505</v>
      </c>
      <c r="E163" s="434" t="s">
        <v>18</v>
      </c>
      <c r="F163" s="249" t="s">
        <v>504</v>
      </c>
      <c r="G163" s="435">
        <v>73</v>
      </c>
      <c r="H163" s="435">
        <v>100</v>
      </c>
      <c r="I163" s="239"/>
      <c r="J163" s="434" t="str">
        <f>C163</f>
        <v>4.1</v>
      </c>
      <c r="K163" s="440" t="s">
        <v>503</v>
      </c>
      <c r="L163" s="434" t="s">
        <v>507</v>
      </c>
      <c r="M163" s="248">
        <v>17739</v>
      </c>
      <c r="N163" s="248">
        <v>18760</v>
      </c>
      <c r="O163" s="435">
        <f>IF(N163/M163*100&gt;110,110,N163/M163*100)</f>
        <v>105.75567957607532</v>
      </c>
      <c r="P163" s="238"/>
      <c r="Q163" s="436"/>
      <c r="R163" s="432"/>
      <c r="S163" s="512"/>
      <c r="T163" s="318"/>
      <c r="U163" s="60"/>
    </row>
    <row r="164" spans="1:21" ht="68.25" customHeight="1" x14ac:dyDescent="0.25">
      <c r="A164" s="506"/>
      <c r="B164" s="509"/>
      <c r="C164" s="120" t="s">
        <v>532</v>
      </c>
      <c r="D164" s="440" t="s">
        <v>502</v>
      </c>
      <c r="E164" s="434" t="s">
        <v>18</v>
      </c>
      <c r="F164" s="249" t="s">
        <v>513</v>
      </c>
      <c r="G164" s="247">
        <v>0</v>
      </c>
      <c r="H164" s="435">
        <v>100</v>
      </c>
      <c r="I164" s="239"/>
      <c r="J164" s="434"/>
      <c r="K164" s="440"/>
      <c r="L164" s="438"/>
      <c r="M164" s="434"/>
      <c r="N164" s="434"/>
      <c r="O164" s="435"/>
      <c r="P164" s="238"/>
      <c r="Q164" s="436"/>
      <c r="R164" s="432"/>
      <c r="S164" s="512"/>
      <c r="T164" s="318"/>
      <c r="U164" s="60"/>
    </row>
    <row r="165" spans="1:21" ht="68.25" customHeight="1" x14ac:dyDescent="0.25">
      <c r="A165" s="506"/>
      <c r="B165" s="509"/>
      <c r="C165" s="120" t="s">
        <v>531</v>
      </c>
      <c r="D165" s="440" t="s">
        <v>530</v>
      </c>
      <c r="E165" s="434" t="s">
        <v>20</v>
      </c>
      <c r="F165" s="241">
        <v>65</v>
      </c>
      <c r="G165" s="240">
        <v>58</v>
      </c>
      <c r="H165" s="435">
        <f>IF(G165/F165*100&gt;100,100,G165/F165*100)</f>
        <v>89.230769230769241</v>
      </c>
      <c r="I165" s="239"/>
      <c r="J165" s="434"/>
      <c r="K165" s="440"/>
      <c r="L165" s="434"/>
      <c r="M165" s="434"/>
      <c r="N165" s="434"/>
      <c r="O165" s="435"/>
      <c r="P165" s="238"/>
      <c r="Q165" s="436"/>
      <c r="R165" s="432"/>
      <c r="S165" s="512"/>
      <c r="T165" s="318"/>
      <c r="U165" s="60"/>
    </row>
    <row r="166" spans="1:21" s="60" customFormat="1" ht="53.25" customHeight="1" x14ac:dyDescent="0.25">
      <c r="A166" s="507"/>
      <c r="B166" s="510"/>
      <c r="C166" s="20"/>
      <c r="D166" s="466" t="s">
        <v>644</v>
      </c>
      <c r="E166" s="20"/>
      <c r="F166" s="303"/>
      <c r="G166" s="303"/>
      <c r="H166" s="303"/>
      <c r="I166" s="86">
        <f>(H163+H164+H165)/3</f>
        <v>96.410256410256409</v>
      </c>
      <c r="J166" s="20"/>
      <c r="K166" s="466" t="s">
        <v>644</v>
      </c>
      <c r="L166" s="20"/>
      <c r="M166" s="124"/>
      <c r="N166" s="124"/>
      <c r="O166" s="303"/>
      <c r="P166" s="18">
        <f>O163</f>
        <v>105.75567957607532</v>
      </c>
      <c r="Q166" s="18">
        <f>(I166+P166)/2</f>
        <v>101.08296799316587</v>
      </c>
      <c r="R166" s="447" t="s">
        <v>25</v>
      </c>
      <c r="S166" s="512"/>
      <c r="T166" s="318"/>
    </row>
    <row r="167" spans="1:21" s="243" customFormat="1" ht="101.25" customHeight="1" x14ac:dyDescent="0.25">
      <c r="A167" s="505" t="s">
        <v>64</v>
      </c>
      <c r="B167" s="508" t="s">
        <v>529</v>
      </c>
      <c r="C167" s="431" t="s">
        <v>13</v>
      </c>
      <c r="D167" s="34" t="s">
        <v>516</v>
      </c>
      <c r="E167" s="434"/>
      <c r="F167" s="249"/>
      <c r="G167" s="240"/>
      <c r="H167" s="237"/>
      <c r="I167" s="246"/>
      <c r="J167" s="432" t="s">
        <v>13</v>
      </c>
      <c r="K167" s="34" t="str">
        <f>D167</f>
        <v>Реализация дополнительных общеобразовательных предпрофессиональных программ в области искусств - фортепиано</v>
      </c>
      <c r="L167" s="434"/>
      <c r="M167" s="245"/>
      <c r="N167" s="245"/>
      <c r="O167" s="237"/>
      <c r="P167" s="244"/>
      <c r="Q167" s="436"/>
      <c r="R167" s="432"/>
      <c r="S167" s="512" t="s">
        <v>104</v>
      </c>
      <c r="T167" s="318"/>
      <c r="U167" s="316"/>
    </row>
    <row r="168" spans="1:21" ht="125.25" customHeight="1" x14ac:dyDescent="0.25">
      <c r="A168" s="506"/>
      <c r="B168" s="509"/>
      <c r="C168" s="19" t="s">
        <v>16</v>
      </c>
      <c r="D168" s="440" t="s">
        <v>510</v>
      </c>
      <c r="E168" s="434" t="s">
        <v>18</v>
      </c>
      <c r="F168" s="249" t="s">
        <v>509</v>
      </c>
      <c r="G168" s="435">
        <v>56</v>
      </c>
      <c r="H168" s="435">
        <v>100</v>
      </c>
      <c r="I168" s="239"/>
      <c r="J168" s="434" t="s">
        <v>16</v>
      </c>
      <c r="K168" s="440" t="s">
        <v>503</v>
      </c>
      <c r="L168" s="434" t="s">
        <v>507</v>
      </c>
      <c r="M168" s="248">
        <v>14850</v>
      </c>
      <c r="N168" s="248">
        <v>13365</v>
      </c>
      <c r="O168" s="435">
        <f>IF(N168/M168*100&gt;110,110,N168/M168*100)</f>
        <v>90</v>
      </c>
      <c r="P168" s="238"/>
      <c r="Q168" s="436"/>
      <c r="R168" s="432"/>
      <c r="S168" s="512"/>
      <c r="T168" s="318"/>
      <c r="U168" s="60"/>
    </row>
    <row r="169" spans="1:21" ht="63" customHeight="1" x14ac:dyDescent="0.25">
      <c r="A169" s="506"/>
      <c r="B169" s="509"/>
      <c r="C169" s="19" t="s">
        <v>21</v>
      </c>
      <c r="D169" s="440" t="s">
        <v>502</v>
      </c>
      <c r="E169" s="434" t="s">
        <v>18</v>
      </c>
      <c r="F169" s="249" t="s">
        <v>513</v>
      </c>
      <c r="G169" s="247">
        <v>0</v>
      </c>
      <c r="H169" s="435">
        <v>100</v>
      </c>
      <c r="I169" s="239"/>
      <c r="J169" s="434"/>
      <c r="K169" s="434"/>
      <c r="L169" s="438"/>
      <c r="M169" s="434"/>
      <c r="N169" s="434"/>
      <c r="O169" s="435"/>
      <c r="P169" s="238"/>
      <c r="Q169" s="436"/>
      <c r="R169" s="432"/>
      <c r="S169" s="512"/>
      <c r="T169" s="318"/>
      <c r="U169" s="60"/>
    </row>
    <row r="170" spans="1:21" s="60" customFormat="1" ht="53.25" customHeight="1" x14ac:dyDescent="0.25">
      <c r="A170" s="506"/>
      <c r="B170" s="509"/>
      <c r="C170" s="128"/>
      <c r="D170" s="466" t="s">
        <v>644</v>
      </c>
      <c r="E170" s="20"/>
      <c r="F170" s="127"/>
      <c r="G170" s="306"/>
      <c r="H170" s="303"/>
      <c r="I170" s="86">
        <f>(H168+H169)/2</f>
        <v>100</v>
      </c>
      <c r="J170" s="20"/>
      <c r="K170" s="466" t="s">
        <v>644</v>
      </c>
      <c r="L170" s="20"/>
      <c r="M170" s="124"/>
      <c r="N170" s="124"/>
      <c r="O170" s="303"/>
      <c r="P170" s="18">
        <f>O168</f>
        <v>90</v>
      </c>
      <c r="Q170" s="18">
        <f>(I170+P170)/2</f>
        <v>95</v>
      </c>
      <c r="R170" s="447" t="s">
        <v>112</v>
      </c>
      <c r="S170" s="512"/>
      <c r="T170" s="318"/>
      <c r="U170" s="315"/>
    </row>
    <row r="171" spans="1:21" s="243" customFormat="1" ht="110.25" customHeight="1" x14ac:dyDescent="0.25">
      <c r="A171" s="506"/>
      <c r="B171" s="509"/>
      <c r="C171" s="431" t="s">
        <v>26</v>
      </c>
      <c r="D171" s="34" t="s">
        <v>523</v>
      </c>
      <c r="E171" s="434"/>
      <c r="F171" s="249"/>
      <c r="G171" s="240"/>
      <c r="H171" s="237"/>
      <c r="I171" s="246"/>
      <c r="J171" s="432" t="s">
        <v>26</v>
      </c>
      <c r="K171" s="34" t="str">
        <f>D171</f>
        <v>Реализация дополнительных общеобразовательных предпрофессиональных программ в области искусств - духовые и ударные инструменты</v>
      </c>
      <c r="L171" s="434"/>
      <c r="M171" s="245"/>
      <c r="N171" s="245"/>
      <c r="O171" s="237"/>
      <c r="P171" s="244"/>
      <c r="Q171" s="436"/>
      <c r="R171" s="432"/>
      <c r="S171" s="512"/>
      <c r="T171" s="318"/>
      <c r="U171" s="316"/>
    </row>
    <row r="172" spans="1:21" ht="124.5" customHeight="1" x14ac:dyDescent="0.25">
      <c r="A172" s="506"/>
      <c r="B172" s="509"/>
      <c r="C172" s="19" t="s">
        <v>28</v>
      </c>
      <c r="D172" s="440" t="s">
        <v>510</v>
      </c>
      <c r="E172" s="434" t="s">
        <v>18</v>
      </c>
      <c r="F172" s="249" t="s">
        <v>509</v>
      </c>
      <c r="G172" s="435">
        <v>56</v>
      </c>
      <c r="H172" s="435">
        <v>100</v>
      </c>
      <c r="I172" s="239"/>
      <c r="J172" s="434" t="s">
        <v>28</v>
      </c>
      <c r="K172" s="440" t="s">
        <v>503</v>
      </c>
      <c r="L172" s="434" t="s">
        <v>507</v>
      </c>
      <c r="M172" s="248">
        <v>8415</v>
      </c>
      <c r="N172" s="248">
        <v>7854</v>
      </c>
      <c r="O172" s="435">
        <f>IF(N172/M172*100&gt;110,110,N172/M172*100)</f>
        <v>93.333333333333329</v>
      </c>
      <c r="P172" s="238"/>
      <c r="Q172" s="436"/>
      <c r="R172" s="432"/>
      <c r="S172" s="512"/>
      <c r="T172" s="318"/>
      <c r="U172" s="60"/>
    </row>
    <row r="173" spans="1:21" ht="60" customHeight="1" x14ac:dyDescent="0.25">
      <c r="A173" s="506"/>
      <c r="B173" s="509"/>
      <c r="C173" s="19" t="s">
        <v>30</v>
      </c>
      <c r="D173" s="462" t="s">
        <v>502</v>
      </c>
      <c r="E173" s="434" t="s">
        <v>18</v>
      </c>
      <c r="F173" s="249" t="s">
        <v>513</v>
      </c>
      <c r="G173" s="247">
        <v>0</v>
      </c>
      <c r="H173" s="435">
        <v>100</v>
      </c>
      <c r="I173" s="239"/>
      <c r="J173" s="434"/>
      <c r="K173" s="434"/>
      <c r="L173" s="438"/>
      <c r="M173" s="434"/>
      <c r="N173" s="434"/>
      <c r="O173" s="435"/>
      <c r="P173" s="238"/>
      <c r="Q173" s="436"/>
      <c r="R173" s="432"/>
      <c r="S173" s="512"/>
      <c r="T173" s="318"/>
      <c r="U173" s="60"/>
    </row>
    <row r="174" spans="1:21" s="60" customFormat="1" ht="53.25" customHeight="1" x14ac:dyDescent="0.25">
      <c r="A174" s="506"/>
      <c r="B174" s="509"/>
      <c r="C174" s="128"/>
      <c r="D174" s="466" t="s">
        <v>644</v>
      </c>
      <c r="E174" s="20"/>
      <c r="F174" s="127"/>
      <c r="G174" s="306"/>
      <c r="H174" s="303"/>
      <c r="I174" s="86">
        <f>(H172+H173)/2</f>
        <v>100</v>
      </c>
      <c r="J174" s="20"/>
      <c r="K174" s="466" t="s">
        <v>644</v>
      </c>
      <c r="L174" s="20"/>
      <c r="M174" s="124"/>
      <c r="N174" s="124"/>
      <c r="O174" s="303"/>
      <c r="P174" s="18">
        <f>O172</f>
        <v>93.333333333333329</v>
      </c>
      <c r="Q174" s="18">
        <f>(I174+P174)/2</f>
        <v>96.666666666666657</v>
      </c>
      <c r="R174" s="447" t="s">
        <v>112</v>
      </c>
      <c r="S174" s="512"/>
      <c r="T174" s="318"/>
      <c r="U174" s="315"/>
    </row>
    <row r="175" spans="1:21" s="243" customFormat="1" ht="96" customHeight="1" x14ac:dyDescent="0.25">
      <c r="A175" s="506"/>
      <c r="B175" s="509"/>
      <c r="C175" s="431" t="s">
        <v>36</v>
      </c>
      <c r="D175" s="34" t="s">
        <v>522</v>
      </c>
      <c r="E175" s="434"/>
      <c r="F175" s="249"/>
      <c r="G175" s="240"/>
      <c r="H175" s="237"/>
      <c r="I175" s="246"/>
      <c r="J175" s="432" t="str">
        <f>C175</f>
        <v>III</v>
      </c>
      <c r="K175" s="34" t="str">
        <f>D175</f>
        <v>Реализация дополнительных общеобразовательных предпрофессиональных программ в области искусств - струнные инструменты</v>
      </c>
      <c r="L175" s="434"/>
      <c r="M175" s="245"/>
      <c r="N175" s="245"/>
      <c r="O175" s="237"/>
      <c r="P175" s="244"/>
      <c r="Q175" s="436"/>
      <c r="R175" s="432"/>
      <c r="S175" s="512"/>
      <c r="T175" s="318"/>
      <c r="U175" s="316"/>
    </row>
    <row r="176" spans="1:21" ht="122.25" customHeight="1" x14ac:dyDescent="0.25">
      <c r="A176" s="506"/>
      <c r="B176" s="509"/>
      <c r="C176" s="19" t="s">
        <v>38</v>
      </c>
      <c r="D176" s="440" t="s">
        <v>510</v>
      </c>
      <c r="E176" s="434" t="s">
        <v>18</v>
      </c>
      <c r="F176" s="249" t="s">
        <v>509</v>
      </c>
      <c r="G176" s="435">
        <v>56</v>
      </c>
      <c r="H176" s="435">
        <v>100</v>
      </c>
      <c r="I176" s="239"/>
      <c r="J176" s="434" t="str">
        <f>C176</f>
        <v>3.1.</v>
      </c>
      <c r="K176" s="440" t="s">
        <v>503</v>
      </c>
      <c r="L176" s="434" t="s">
        <v>507</v>
      </c>
      <c r="M176" s="248">
        <v>8316</v>
      </c>
      <c r="N176" s="248">
        <v>7722</v>
      </c>
      <c r="O176" s="435">
        <f>IF(N176/M176*100&gt;110,110,N176/M176*100)</f>
        <v>92.857142857142861</v>
      </c>
      <c r="P176" s="238"/>
      <c r="Q176" s="436"/>
      <c r="R176" s="432"/>
      <c r="S176" s="512"/>
      <c r="T176" s="318"/>
      <c r="U176" s="60"/>
    </row>
    <row r="177" spans="1:21" ht="64.5" customHeight="1" x14ac:dyDescent="0.25">
      <c r="A177" s="506"/>
      <c r="B177" s="509"/>
      <c r="C177" s="19" t="s">
        <v>118</v>
      </c>
      <c r="D177" s="440" t="s">
        <v>502</v>
      </c>
      <c r="E177" s="434" t="s">
        <v>18</v>
      </c>
      <c r="F177" s="249" t="s">
        <v>513</v>
      </c>
      <c r="G177" s="247">
        <v>0</v>
      </c>
      <c r="H177" s="435">
        <v>100</v>
      </c>
      <c r="I177" s="239"/>
      <c r="J177" s="434"/>
      <c r="K177" s="434"/>
      <c r="L177" s="438"/>
      <c r="M177" s="434"/>
      <c r="N177" s="434"/>
      <c r="O177" s="435"/>
      <c r="P177" s="238"/>
      <c r="Q177" s="436"/>
      <c r="R177" s="432"/>
      <c r="S177" s="512"/>
      <c r="T177" s="318"/>
      <c r="U177" s="60"/>
    </row>
    <row r="178" spans="1:21" s="60" customFormat="1" ht="53.25" customHeight="1" x14ac:dyDescent="0.25">
      <c r="A178" s="506"/>
      <c r="B178" s="509"/>
      <c r="C178" s="128"/>
      <c r="D178" s="466" t="s">
        <v>644</v>
      </c>
      <c r="E178" s="20"/>
      <c r="F178" s="127"/>
      <c r="G178" s="306"/>
      <c r="H178" s="303"/>
      <c r="I178" s="86">
        <f>(H176+H177)/2</f>
        <v>100</v>
      </c>
      <c r="J178" s="20"/>
      <c r="K178" s="466" t="s">
        <v>644</v>
      </c>
      <c r="L178" s="20"/>
      <c r="M178" s="124"/>
      <c r="N178" s="124"/>
      <c r="O178" s="303"/>
      <c r="P178" s="18">
        <f>O176</f>
        <v>92.857142857142861</v>
      </c>
      <c r="Q178" s="18">
        <f>(I178+P178)/2</f>
        <v>96.428571428571431</v>
      </c>
      <c r="R178" s="447" t="s">
        <v>112</v>
      </c>
      <c r="S178" s="512"/>
      <c r="T178" s="318"/>
      <c r="U178" s="315"/>
    </row>
    <row r="179" spans="1:21" s="243" customFormat="1" ht="92.25" customHeight="1" x14ac:dyDescent="0.25">
      <c r="A179" s="506"/>
      <c r="B179" s="509"/>
      <c r="C179" s="431" t="s">
        <v>123</v>
      </c>
      <c r="D179" s="34" t="s">
        <v>515</v>
      </c>
      <c r="E179" s="434"/>
      <c r="F179" s="249"/>
      <c r="G179" s="240"/>
      <c r="H179" s="237"/>
      <c r="I179" s="246"/>
      <c r="J179" s="432" t="str">
        <f>C179</f>
        <v>IV</v>
      </c>
      <c r="K179" s="34" t="str">
        <f>D179</f>
        <v>Реализация дополнительных общеобразовательных предпрофессиональных программ в области искусств - народные инструменты</v>
      </c>
      <c r="L179" s="434"/>
      <c r="M179" s="245"/>
      <c r="N179" s="245"/>
      <c r="O179" s="237"/>
      <c r="P179" s="244"/>
      <c r="Q179" s="436"/>
      <c r="R179" s="432"/>
      <c r="S179" s="512"/>
      <c r="T179" s="318"/>
      <c r="U179" s="316"/>
    </row>
    <row r="180" spans="1:21" ht="121.5" customHeight="1" x14ac:dyDescent="0.25">
      <c r="A180" s="506"/>
      <c r="B180" s="509"/>
      <c r="C180" s="19" t="s">
        <v>124</v>
      </c>
      <c r="D180" s="440" t="s">
        <v>510</v>
      </c>
      <c r="E180" s="434" t="s">
        <v>18</v>
      </c>
      <c r="F180" s="249" t="s">
        <v>509</v>
      </c>
      <c r="G180" s="435">
        <v>56</v>
      </c>
      <c r="H180" s="435">
        <v>100</v>
      </c>
      <c r="I180" s="239"/>
      <c r="J180" s="434" t="str">
        <f>C180</f>
        <v>4.1.</v>
      </c>
      <c r="K180" s="440" t="s">
        <v>503</v>
      </c>
      <c r="L180" s="434" t="s">
        <v>507</v>
      </c>
      <c r="M180" s="248">
        <v>9504</v>
      </c>
      <c r="N180" s="248">
        <v>9240</v>
      </c>
      <c r="O180" s="435">
        <f>IF(N180/M180*100&gt;110,110,N180/M180*100)</f>
        <v>97.222222222222214</v>
      </c>
      <c r="P180" s="238"/>
      <c r="Q180" s="436"/>
      <c r="R180" s="432"/>
      <c r="S180" s="512"/>
      <c r="T180" s="318"/>
      <c r="U180" s="60"/>
    </row>
    <row r="181" spans="1:21" ht="62.25" customHeight="1" x14ac:dyDescent="0.25">
      <c r="A181" s="506"/>
      <c r="B181" s="509"/>
      <c r="C181" s="19" t="s">
        <v>127</v>
      </c>
      <c r="D181" s="440" t="s">
        <v>502</v>
      </c>
      <c r="E181" s="434" t="s">
        <v>18</v>
      </c>
      <c r="F181" s="249" t="s">
        <v>513</v>
      </c>
      <c r="G181" s="247">
        <v>0</v>
      </c>
      <c r="H181" s="247">
        <v>100</v>
      </c>
      <c r="I181" s="239"/>
      <c r="J181" s="434"/>
      <c r="K181" s="434"/>
      <c r="L181" s="438"/>
      <c r="M181" s="434"/>
      <c r="N181" s="434"/>
      <c r="O181" s="435"/>
      <c r="P181" s="238"/>
      <c r="Q181" s="436"/>
      <c r="R181" s="432"/>
      <c r="S181" s="512"/>
      <c r="T181" s="318"/>
      <c r="U181" s="60"/>
    </row>
    <row r="182" spans="1:21" s="60" customFormat="1" ht="53.25" customHeight="1" x14ac:dyDescent="0.25">
      <c r="A182" s="506"/>
      <c r="B182" s="509"/>
      <c r="C182" s="128"/>
      <c r="D182" s="466" t="s">
        <v>644</v>
      </c>
      <c r="E182" s="20"/>
      <c r="F182" s="127"/>
      <c r="G182" s="306"/>
      <c r="H182" s="303"/>
      <c r="I182" s="86">
        <f>(H180+H181)/2</f>
        <v>100</v>
      </c>
      <c r="J182" s="20"/>
      <c r="K182" s="466" t="s">
        <v>644</v>
      </c>
      <c r="L182" s="20"/>
      <c r="M182" s="124"/>
      <c r="N182" s="124"/>
      <c r="O182" s="303"/>
      <c r="P182" s="18">
        <f>O180</f>
        <v>97.222222222222214</v>
      </c>
      <c r="Q182" s="18">
        <f>(I182+P182)/2</f>
        <v>98.611111111111114</v>
      </c>
      <c r="R182" s="447" t="s">
        <v>112</v>
      </c>
      <c r="S182" s="512"/>
      <c r="T182" s="318"/>
      <c r="U182" s="315"/>
    </row>
    <row r="183" spans="1:21" s="243" customFormat="1" ht="109.5" customHeight="1" x14ac:dyDescent="0.25">
      <c r="A183" s="506"/>
      <c r="B183" s="509"/>
      <c r="C183" s="431" t="s">
        <v>129</v>
      </c>
      <c r="D183" s="34" t="s">
        <v>528</v>
      </c>
      <c r="E183" s="434"/>
      <c r="F183" s="249"/>
      <c r="G183" s="240"/>
      <c r="H183" s="237"/>
      <c r="I183" s="246"/>
      <c r="J183" s="432" t="str">
        <f>C183</f>
        <v>V</v>
      </c>
      <c r="K183" s="34" t="str">
        <f>D183</f>
        <v>Реализация дополнительных общеобразовательных предпрофессиональных программ в области искусств - инструменты эстрадного оркестра</v>
      </c>
      <c r="L183" s="434"/>
      <c r="M183" s="245"/>
      <c r="N183" s="245"/>
      <c r="O183" s="237"/>
      <c r="P183" s="244"/>
      <c r="Q183" s="436"/>
      <c r="R183" s="432"/>
      <c r="S183" s="512"/>
      <c r="T183" s="318"/>
      <c r="U183" s="316"/>
    </row>
    <row r="184" spans="1:21" ht="112.5" customHeight="1" x14ac:dyDescent="0.25">
      <c r="A184" s="506"/>
      <c r="B184" s="509"/>
      <c r="C184" s="19" t="s">
        <v>131</v>
      </c>
      <c r="D184" s="440" t="s">
        <v>505</v>
      </c>
      <c r="E184" s="434" t="s">
        <v>18</v>
      </c>
      <c r="F184" s="249" t="s">
        <v>509</v>
      </c>
      <c r="G184" s="435">
        <v>56</v>
      </c>
      <c r="H184" s="435">
        <v>100</v>
      </c>
      <c r="I184" s="239"/>
      <c r="J184" s="434" t="str">
        <f>C184</f>
        <v>5.1.</v>
      </c>
      <c r="K184" s="440" t="s">
        <v>503</v>
      </c>
      <c r="L184" s="434" t="s">
        <v>507</v>
      </c>
      <c r="M184" s="248">
        <v>8910</v>
      </c>
      <c r="N184" s="248">
        <v>8415</v>
      </c>
      <c r="O184" s="435">
        <f>IF(N184/M184*100&gt;110,110,N184/M184*100)</f>
        <v>94.444444444444443</v>
      </c>
      <c r="P184" s="238"/>
      <c r="Q184" s="436"/>
      <c r="R184" s="432"/>
      <c r="S184" s="512"/>
      <c r="T184" s="318"/>
      <c r="U184" s="60"/>
    </row>
    <row r="185" spans="1:21" ht="49.5" customHeight="1" x14ac:dyDescent="0.25">
      <c r="A185" s="506"/>
      <c r="B185" s="509"/>
      <c r="C185" s="19" t="s">
        <v>183</v>
      </c>
      <c r="D185" s="440" t="s">
        <v>502</v>
      </c>
      <c r="E185" s="434" t="s">
        <v>18</v>
      </c>
      <c r="F185" s="249" t="s">
        <v>513</v>
      </c>
      <c r="G185" s="247">
        <v>0</v>
      </c>
      <c r="H185" s="247">
        <v>100</v>
      </c>
      <c r="I185" s="239"/>
      <c r="J185" s="434"/>
      <c r="K185" s="434"/>
      <c r="L185" s="438"/>
      <c r="M185" s="434"/>
      <c r="N185" s="434"/>
      <c r="O185" s="435"/>
      <c r="P185" s="238"/>
      <c r="Q185" s="436"/>
      <c r="R185" s="432"/>
      <c r="S185" s="512"/>
      <c r="T185" s="318"/>
      <c r="U185" s="60"/>
    </row>
    <row r="186" spans="1:21" s="60" customFormat="1" ht="53.25" customHeight="1" x14ac:dyDescent="0.25">
      <c r="A186" s="506"/>
      <c r="B186" s="509"/>
      <c r="C186" s="128"/>
      <c r="D186" s="466" t="s">
        <v>644</v>
      </c>
      <c r="E186" s="20"/>
      <c r="F186" s="127"/>
      <c r="G186" s="306"/>
      <c r="H186" s="303"/>
      <c r="I186" s="86">
        <f>(H184+H185)/2</f>
        <v>100</v>
      </c>
      <c r="J186" s="20"/>
      <c r="K186" s="466" t="s">
        <v>644</v>
      </c>
      <c r="L186" s="20"/>
      <c r="M186" s="124"/>
      <c r="N186" s="124"/>
      <c r="O186" s="303"/>
      <c r="P186" s="18">
        <f>O184</f>
        <v>94.444444444444443</v>
      </c>
      <c r="Q186" s="18">
        <f>(I186+P186)/2</f>
        <v>97.222222222222229</v>
      </c>
      <c r="R186" s="447" t="s">
        <v>112</v>
      </c>
      <c r="S186" s="512"/>
      <c r="T186" s="318"/>
      <c r="U186" s="315"/>
    </row>
    <row r="187" spans="1:21" s="60" customFormat="1" ht="96.75" customHeight="1" x14ac:dyDescent="0.25">
      <c r="A187" s="506"/>
      <c r="B187" s="509"/>
      <c r="C187" s="145" t="s">
        <v>140</v>
      </c>
      <c r="D187" s="59" t="s">
        <v>527</v>
      </c>
      <c r="E187" s="19"/>
      <c r="F187" s="64"/>
      <c r="G187" s="323"/>
      <c r="H187" s="322"/>
      <c r="I187" s="67"/>
      <c r="J187" s="431" t="str">
        <f>C187</f>
        <v>VI</v>
      </c>
      <c r="K187" s="59" t="str">
        <f>D187</f>
        <v>Реализация дополнительных общеобразовательных предпрофессиональных программ в области искусств - музыкальный фольклор</v>
      </c>
      <c r="L187" s="19"/>
      <c r="M187" s="96"/>
      <c r="N187" s="96"/>
      <c r="O187" s="322"/>
      <c r="P187" s="324"/>
      <c r="Q187" s="35"/>
      <c r="R187" s="431"/>
      <c r="S187" s="512"/>
      <c r="T187" s="318"/>
      <c r="U187" s="315"/>
    </row>
    <row r="188" spans="1:21" s="60" customFormat="1" ht="99" customHeight="1" x14ac:dyDescent="0.25">
      <c r="A188" s="506"/>
      <c r="B188" s="509"/>
      <c r="C188" s="129" t="s">
        <v>142</v>
      </c>
      <c r="D188" s="41" t="s">
        <v>505</v>
      </c>
      <c r="E188" s="19" t="s">
        <v>18</v>
      </c>
      <c r="F188" s="64" t="s">
        <v>509</v>
      </c>
      <c r="G188" s="321">
        <v>56</v>
      </c>
      <c r="H188" s="321">
        <v>100</v>
      </c>
      <c r="I188" s="63"/>
      <c r="J188" s="19" t="str">
        <f>C188</f>
        <v>6.1.</v>
      </c>
      <c r="K188" s="41" t="s">
        <v>503</v>
      </c>
      <c r="L188" s="19" t="s">
        <v>507</v>
      </c>
      <c r="M188" s="325">
        <v>5049</v>
      </c>
      <c r="N188" s="325">
        <v>4752</v>
      </c>
      <c r="O188" s="321">
        <f>IF(N188/M188*100&gt;110,110,N188/M188*100)</f>
        <v>94.117647058823522</v>
      </c>
      <c r="P188" s="326"/>
      <c r="Q188" s="35"/>
      <c r="R188" s="431"/>
      <c r="S188" s="512"/>
      <c r="T188" s="318"/>
      <c r="U188" s="315"/>
    </row>
    <row r="189" spans="1:21" s="60" customFormat="1" ht="49.5" customHeight="1" x14ac:dyDescent="0.25">
      <c r="A189" s="506"/>
      <c r="B189" s="509"/>
      <c r="C189" s="129" t="s">
        <v>188</v>
      </c>
      <c r="D189" s="41" t="s">
        <v>502</v>
      </c>
      <c r="E189" s="19" t="s">
        <v>18</v>
      </c>
      <c r="F189" s="64" t="s">
        <v>513</v>
      </c>
      <c r="G189" s="327">
        <v>0</v>
      </c>
      <c r="H189" s="327">
        <v>100</v>
      </c>
      <c r="I189" s="63"/>
      <c r="J189" s="19"/>
      <c r="K189" s="19"/>
      <c r="L189" s="153"/>
      <c r="M189" s="19"/>
      <c r="N189" s="19"/>
      <c r="O189" s="321"/>
      <c r="P189" s="326"/>
      <c r="Q189" s="35"/>
      <c r="R189" s="431"/>
      <c r="S189" s="512"/>
      <c r="T189" s="318"/>
      <c r="U189" s="315"/>
    </row>
    <row r="190" spans="1:21" s="60" customFormat="1" ht="53.25" customHeight="1" x14ac:dyDescent="0.25">
      <c r="A190" s="506"/>
      <c r="B190" s="509"/>
      <c r="C190" s="128"/>
      <c r="D190" s="466" t="s">
        <v>644</v>
      </c>
      <c r="E190" s="20"/>
      <c r="F190" s="127"/>
      <c r="G190" s="306"/>
      <c r="H190" s="303"/>
      <c r="I190" s="86">
        <f>(H188+H189)/2</f>
        <v>100</v>
      </c>
      <c r="J190" s="20"/>
      <c r="K190" s="466" t="s">
        <v>644</v>
      </c>
      <c r="L190" s="20"/>
      <c r="M190" s="124"/>
      <c r="N190" s="124"/>
      <c r="O190" s="303"/>
      <c r="P190" s="18">
        <f>O188</f>
        <v>94.117647058823522</v>
      </c>
      <c r="Q190" s="18">
        <f>(I190+P190)/2</f>
        <v>97.058823529411768</v>
      </c>
      <c r="R190" s="447" t="s">
        <v>112</v>
      </c>
      <c r="S190" s="512"/>
      <c r="T190" s="318"/>
      <c r="U190" s="315"/>
    </row>
    <row r="191" spans="1:21" s="243" customFormat="1" ht="79.5" customHeight="1" x14ac:dyDescent="0.25">
      <c r="A191" s="506"/>
      <c r="B191" s="509"/>
      <c r="C191" s="431" t="s">
        <v>144</v>
      </c>
      <c r="D191" s="34" t="s">
        <v>506</v>
      </c>
      <c r="E191" s="434"/>
      <c r="F191" s="249"/>
      <c r="G191" s="240"/>
      <c r="H191" s="237"/>
      <c r="I191" s="246"/>
      <c r="J191" s="432" t="str">
        <f>C191</f>
        <v>VII</v>
      </c>
      <c r="K191" s="34" t="str">
        <f>D191</f>
        <v>Реализация дополнительных общеобразовательных общеразвивающих программ</v>
      </c>
      <c r="L191" s="434"/>
      <c r="M191" s="245"/>
      <c r="N191" s="245"/>
      <c r="O191" s="237"/>
      <c r="P191" s="244"/>
      <c r="Q191" s="436"/>
      <c r="R191" s="432"/>
      <c r="S191" s="512"/>
      <c r="T191" s="318"/>
      <c r="U191" s="316"/>
    </row>
    <row r="192" spans="1:21" ht="115.5" customHeight="1" x14ac:dyDescent="0.25">
      <c r="A192" s="506"/>
      <c r="B192" s="509"/>
      <c r="C192" s="19" t="s">
        <v>146</v>
      </c>
      <c r="D192" s="440" t="s">
        <v>505</v>
      </c>
      <c r="E192" s="434" t="s">
        <v>18</v>
      </c>
      <c r="F192" s="249" t="s">
        <v>504</v>
      </c>
      <c r="G192" s="435">
        <v>44</v>
      </c>
      <c r="H192" s="435">
        <v>100</v>
      </c>
      <c r="I192" s="239"/>
      <c r="J192" s="434" t="str">
        <f>C192</f>
        <v>7.1.</v>
      </c>
      <c r="K192" s="440" t="s">
        <v>503</v>
      </c>
      <c r="L192" s="434" t="s">
        <v>414</v>
      </c>
      <c r="M192" s="248">
        <v>11896.5</v>
      </c>
      <c r="N192" s="248">
        <v>10791</v>
      </c>
      <c r="O192" s="435">
        <f>IF(N192/M192*100&gt;110,110,N192/M192*100)</f>
        <v>90.707350901525658</v>
      </c>
      <c r="P192" s="238"/>
      <c r="Q192" s="436"/>
      <c r="R192" s="432"/>
      <c r="S192" s="512"/>
      <c r="T192" s="318"/>
      <c r="U192" s="60"/>
    </row>
    <row r="193" spans="1:21" ht="55.5" customHeight="1" x14ac:dyDescent="0.25">
      <c r="A193" s="506"/>
      <c r="B193" s="509"/>
      <c r="C193" s="19" t="s">
        <v>433</v>
      </c>
      <c r="D193" s="440" t="s">
        <v>502</v>
      </c>
      <c r="E193" s="434" t="s">
        <v>18</v>
      </c>
      <c r="F193" s="249" t="s">
        <v>513</v>
      </c>
      <c r="G193" s="247">
        <v>0</v>
      </c>
      <c r="H193" s="247">
        <v>100</v>
      </c>
      <c r="I193" s="239"/>
      <c r="J193" s="434"/>
      <c r="K193" s="440"/>
      <c r="L193" s="434"/>
      <c r="M193" s="434"/>
      <c r="N193" s="434"/>
      <c r="O193" s="435"/>
      <c r="P193" s="238"/>
      <c r="Q193" s="436"/>
      <c r="R193" s="432"/>
      <c r="S193" s="512"/>
      <c r="T193" s="318"/>
      <c r="U193" s="60"/>
    </row>
    <row r="194" spans="1:21" ht="16.5" customHeight="1" x14ac:dyDescent="0.25">
      <c r="A194" s="506"/>
      <c r="B194" s="509"/>
      <c r="C194" s="19" t="s">
        <v>500</v>
      </c>
      <c r="D194" s="440" t="s">
        <v>499</v>
      </c>
      <c r="E194" s="434" t="s">
        <v>20</v>
      </c>
      <c r="F194" s="444">
        <v>103</v>
      </c>
      <c r="G194" s="255">
        <v>109</v>
      </c>
      <c r="H194" s="435">
        <f>IF(G194/F194*100&gt;100,100,G194/F194*100)</f>
        <v>100</v>
      </c>
      <c r="I194" s="246"/>
      <c r="J194" s="434"/>
      <c r="K194" s="440"/>
      <c r="L194" s="434"/>
      <c r="M194" s="434"/>
      <c r="N194" s="434"/>
      <c r="O194" s="435"/>
      <c r="P194" s="238"/>
      <c r="Q194" s="436"/>
      <c r="R194" s="432"/>
      <c r="S194" s="512"/>
      <c r="T194" s="318"/>
      <c r="U194" s="60"/>
    </row>
    <row r="195" spans="1:21" s="60" customFormat="1" ht="53.25" customHeight="1" x14ac:dyDescent="0.25">
      <c r="A195" s="507"/>
      <c r="B195" s="510"/>
      <c r="C195" s="128"/>
      <c r="D195" s="466" t="s">
        <v>644</v>
      </c>
      <c r="E195" s="20"/>
      <c r="F195" s="127"/>
      <c r="G195" s="306"/>
      <c r="H195" s="303"/>
      <c r="I195" s="86">
        <f>(H192+H193+H194)/3</f>
        <v>100</v>
      </c>
      <c r="J195" s="20"/>
      <c r="K195" s="466" t="s">
        <v>644</v>
      </c>
      <c r="L195" s="20"/>
      <c r="M195" s="124"/>
      <c r="N195" s="124"/>
      <c r="O195" s="303"/>
      <c r="P195" s="18">
        <f>O192</f>
        <v>90.707350901525658</v>
      </c>
      <c r="Q195" s="18">
        <f>(I195+P195)/2</f>
        <v>95.353675450762836</v>
      </c>
      <c r="R195" s="447" t="s">
        <v>112</v>
      </c>
      <c r="S195" s="512"/>
      <c r="T195" s="318"/>
    </row>
    <row r="196" spans="1:21" s="243" customFormat="1" ht="88.5" customHeight="1" x14ac:dyDescent="0.25">
      <c r="A196" s="505" t="s">
        <v>66</v>
      </c>
      <c r="B196" s="508" t="s">
        <v>526</v>
      </c>
      <c r="C196" s="431" t="s">
        <v>13</v>
      </c>
      <c r="D196" s="34" t="s">
        <v>516</v>
      </c>
      <c r="E196" s="434"/>
      <c r="F196" s="240"/>
      <c r="G196" s="240"/>
      <c r="H196" s="237"/>
      <c r="I196" s="246"/>
      <c r="J196" s="432" t="s">
        <v>13</v>
      </c>
      <c r="K196" s="34" t="str">
        <f>D196</f>
        <v>Реализация дополнительных общеобразовательных предпрофессиональных программ в области искусств - фортепиано</v>
      </c>
      <c r="L196" s="434"/>
      <c r="M196" s="245"/>
      <c r="N196" s="245"/>
      <c r="O196" s="237"/>
      <c r="P196" s="244"/>
      <c r="Q196" s="436"/>
      <c r="R196" s="432"/>
      <c r="S196" s="512" t="s">
        <v>104</v>
      </c>
      <c r="T196" s="318"/>
      <c r="U196" s="316"/>
    </row>
    <row r="197" spans="1:21" ht="111.75" customHeight="1" x14ac:dyDescent="0.25">
      <c r="A197" s="506"/>
      <c r="B197" s="509"/>
      <c r="C197" s="19" t="s">
        <v>16</v>
      </c>
      <c r="D197" s="440" t="s">
        <v>510</v>
      </c>
      <c r="E197" s="434" t="s">
        <v>18</v>
      </c>
      <c r="F197" s="249" t="s">
        <v>509</v>
      </c>
      <c r="G197" s="435">
        <v>82.1</v>
      </c>
      <c r="H197" s="435">
        <v>100</v>
      </c>
      <c r="I197" s="239"/>
      <c r="J197" s="434" t="s">
        <v>16</v>
      </c>
      <c r="K197" s="434" t="s">
        <v>106</v>
      </c>
      <c r="L197" s="434" t="s">
        <v>507</v>
      </c>
      <c r="M197" s="248">
        <v>9680</v>
      </c>
      <c r="N197" s="248">
        <v>9542</v>
      </c>
      <c r="O197" s="435">
        <f>IF(N197/M197*100&gt;110,110,N197/M197*100)</f>
        <v>98.574380165289256</v>
      </c>
      <c r="P197" s="238"/>
      <c r="Q197" s="436"/>
      <c r="R197" s="432"/>
      <c r="S197" s="512"/>
      <c r="T197" s="318"/>
      <c r="U197" s="60"/>
    </row>
    <row r="198" spans="1:21" ht="68.25" customHeight="1" x14ac:dyDescent="0.25">
      <c r="A198" s="506"/>
      <c r="B198" s="509"/>
      <c r="C198" s="19" t="s">
        <v>21</v>
      </c>
      <c r="D198" s="440" t="s">
        <v>502</v>
      </c>
      <c r="E198" s="434" t="s">
        <v>18</v>
      </c>
      <c r="F198" s="249" t="s">
        <v>513</v>
      </c>
      <c r="G198" s="247">
        <v>0</v>
      </c>
      <c r="H198" s="435">
        <v>100</v>
      </c>
      <c r="I198" s="239"/>
      <c r="J198" s="434"/>
      <c r="K198" s="434"/>
      <c r="L198" s="438"/>
      <c r="M198" s="254"/>
      <c r="N198" s="254"/>
      <c r="O198" s="435"/>
      <c r="P198" s="238"/>
      <c r="Q198" s="436"/>
      <c r="R198" s="432"/>
      <c r="S198" s="512"/>
      <c r="T198" s="318"/>
      <c r="U198" s="60"/>
    </row>
    <row r="199" spans="1:21" s="60" customFormat="1" ht="53.25" customHeight="1" x14ac:dyDescent="0.25">
      <c r="A199" s="506"/>
      <c r="B199" s="509"/>
      <c r="C199" s="128"/>
      <c r="D199" s="466" t="s">
        <v>644</v>
      </c>
      <c r="E199" s="20"/>
      <c r="F199" s="305"/>
      <c r="G199" s="306"/>
      <c r="H199" s="303"/>
      <c r="I199" s="86">
        <f>(H197+H198)/2</f>
        <v>100</v>
      </c>
      <c r="J199" s="20"/>
      <c r="K199" s="466" t="s">
        <v>644</v>
      </c>
      <c r="L199" s="20"/>
      <c r="M199" s="311"/>
      <c r="N199" s="311"/>
      <c r="O199" s="303"/>
      <c r="P199" s="18">
        <f>O197</f>
        <v>98.574380165289256</v>
      </c>
      <c r="Q199" s="18">
        <f>(I199+P199)/2</f>
        <v>99.287190082644628</v>
      </c>
      <c r="R199" s="447" t="s">
        <v>112</v>
      </c>
      <c r="S199" s="512"/>
      <c r="T199" s="318"/>
      <c r="U199" s="315"/>
    </row>
    <row r="200" spans="1:21" s="243" customFormat="1" ht="115.5" customHeight="1" x14ac:dyDescent="0.25">
      <c r="A200" s="506"/>
      <c r="B200" s="509"/>
      <c r="C200" s="431" t="s">
        <v>26</v>
      </c>
      <c r="D200" s="34" t="s">
        <v>523</v>
      </c>
      <c r="E200" s="434"/>
      <c r="F200" s="240"/>
      <c r="G200" s="240"/>
      <c r="H200" s="237"/>
      <c r="I200" s="246"/>
      <c r="J200" s="432" t="s">
        <v>26</v>
      </c>
      <c r="K200" s="34" t="str">
        <f>D200</f>
        <v>Реализация дополнительных общеобразовательных предпрофессиональных программ в области искусств - духовые и ударные инструменты</v>
      </c>
      <c r="L200" s="434"/>
      <c r="M200" s="253"/>
      <c r="N200" s="253"/>
      <c r="O200" s="237"/>
      <c r="P200" s="244"/>
      <c r="Q200" s="436"/>
      <c r="R200" s="432"/>
      <c r="S200" s="512"/>
      <c r="T200" s="318"/>
      <c r="U200" s="316"/>
    </row>
    <row r="201" spans="1:21" ht="117.75" customHeight="1" x14ac:dyDescent="0.25">
      <c r="A201" s="506"/>
      <c r="B201" s="509"/>
      <c r="C201" s="19" t="s">
        <v>28</v>
      </c>
      <c r="D201" s="440" t="s">
        <v>510</v>
      </c>
      <c r="E201" s="434" t="s">
        <v>18</v>
      </c>
      <c r="F201" s="249" t="s">
        <v>509</v>
      </c>
      <c r="G201" s="435">
        <v>82.1</v>
      </c>
      <c r="H201" s="435">
        <v>100</v>
      </c>
      <c r="I201" s="239"/>
      <c r="J201" s="434" t="s">
        <v>28</v>
      </c>
      <c r="K201" s="434" t="s">
        <v>106</v>
      </c>
      <c r="L201" s="434" t="s">
        <v>507</v>
      </c>
      <c r="M201" s="248">
        <v>15827.5</v>
      </c>
      <c r="N201" s="248">
        <v>15726</v>
      </c>
      <c r="O201" s="435">
        <f>IF(N201/M201*100&gt;110,110,N201/M201*100)</f>
        <v>99.358711104090986</v>
      </c>
      <c r="P201" s="238"/>
      <c r="Q201" s="436"/>
      <c r="R201" s="432"/>
      <c r="S201" s="512"/>
      <c r="T201" s="318"/>
      <c r="U201" s="60"/>
    </row>
    <row r="202" spans="1:21" ht="72.75" customHeight="1" x14ac:dyDescent="0.25">
      <c r="A202" s="506"/>
      <c r="B202" s="509"/>
      <c r="C202" s="19" t="s">
        <v>30</v>
      </c>
      <c r="D202" s="440" t="s">
        <v>502</v>
      </c>
      <c r="E202" s="434" t="s">
        <v>18</v>
      </c>
      <c r="F202" s="249" t="s">
        <v>513</v>
      </c>
      <c r="G202" s="247">
        <v>0</v>
      </c>
      <c r="H202" s="435">
        <v>100</v>
      </c>
      <c r="I202" s="239"/>
      <c r="J202" s="434"/>
      <c r="K202" s="434"/>
      <c r="L202" s="438"/>
      <c r="M202" s="434"/>
      <c r="N202" s="434"/>
      <c r="O202" s="435"/>
      <c r="P202" s="238"/>
      <c r="Q202" s="436"/>
      <c r="R202" s="432"/>
      <c r="S202" s="512"/>
      <c r="T202" s="318"/>
      <c r="U202" s="60"/>
    </row>
    <row r="203" spans="1:21" s="60" customFormat="1" ht="53.25" customHeight="1" x14ac:dyDescent="0.25">
      <c r="A203" s="506"/>
      <c r="B203" s="509"/>
      <c r="C203" s="128"/>
      <c r="D203" s="466" t="s">
        <v>644</v>
      </c>
      <c r="E203" s="20"/>
      <c r="F203" s="305"/>
      <c r="G203" s="306"/>
      <c r="H203" s="303"/>
      <c r="I203" s="86">
        <f>(H201+H202)/2</f>
        <v>100</v>
      </c>
      <c r="J203" s="20"/>
      <c r="K203" s="466" t="s">
        <v>644</v>
      </c>
      <c r="L203" s="20"/>
      <c r="M203" s="124"/>
      <c r="N203" s="124"/>
      <c r="O203" s="303"/>
      <c r="P203" s="18">
        <f>O201</f>
        <v>99.358711104090986</v>
      </c>
      <c r="Q203" s="18">
        <f>(I203+P203)/2</f>
        <v>99.679355552045493</v>
      </c>
      <c r="R203" s="447" t="s">
        <v>112</v>
      </c>
      <c r="S203" s="512"/>
      <c r="T203" s="318"/>
      <c r="U203" s="315"/>
    </row>
    <row r="204" spans="1:21" s="243" customFormat="1" ht="99" customHeight="1" x14ac:dyDescent="0.25">
      <c r="A204" s="506"/>
      <c r="B204" s="509"/>
      <c r="C204" s="431" t="s">
        <v>36</v>
      </c>
      <c r="D204" s="34" t="s">
        <v>522</v>
      </c>
      <c r="E204" s="434"/>
      <c r="F204" s="240"/>
      <c r="G204" s="240"/>
      <c r="H204" s="237"/>
      <c r="I204" s="246"/>
      <c r="J204" s="432" t="str">
        <f>C204</f>
        <v>III</v>
      </c>
      <c r="K204" s="34" t="str">
        <f>D204</f>
        <v>Реализация дополнительных общеобразовательных предпрофессиональных программ в области искусств - струнные инструменты</v>
      </c>
      <c r="L204" s="434"/>
      <c r="M204" s="245"/>
      <c r="N204" s="245"/>
      <c r="O204" s="237"/>
      <c r="P204" s="244"/>
      <c r="Q204" s="436"/>
      <c r="R204" s="432"/>
      <c r="S204" s="512"/>
      <c r="T204" s="318"/>
      <c r="U204" s="316"/>
    </row>
    <row r="205" spans="1:21" ht="117" customHeight="1" x14ac:dyDescent="0.25">
      <c r="A205" s="506"/>
      <c r="B205" s="509"/>
      <c r="C205" s="19" t="s">
        <v>38</v>
      </c>
      <c r="D205" s="440" t="s">
        <v>510</v>
      </c>
      <c r="E205" s="434" t="s">
        <v>18</v>
      </c>
      <c r="F205" s="249" t="s">
        <v>509</v>
      </c>
      <c r="G205" s="435">
        <v>82.1</v>
      </c>
      <c r="H205" s="435">
        <v>100</v>
      </c>
      <c r="I205" s="239"/>
      <c r="J205" s="434" t="str">
        <f>C205</f>
        <v>3.1.</v>
      </c>
      <c r="K205" s="434" t="s">
        <v>106</v>
      </c>
      <c r="L205" s="437" t="s">
        <v>507</v>
      </c>
      <c r="M205" s="439">
        <v>9719</v>
      </c>
      <c r="N205" s="252">
        <v>9517.5</v>
      </c>
      <c r="O205" s="435">
        <f>IF(N205/M205*100&gt;110,110,N205/M205*100)</f>
        <v>97.926741434303949</v>
      </c>
      <c r="P205" s="238"/>
      <c r="Q205" s="436"/>
      <c r="R205" s="432"/>
      <c r="S205" s="512"/>
      <c r="T205" s="318"/>
      <c r="U205" s="60"/>
    </row>
    <row r="206" spans="1:21" ht="62.25" customHeight="1" x14ac:dyDescent="0.25">
      <c r="A206" s="506"/>
      <c r="B206" s="509"/>
      <c r="C206" s="19" t="s">
        <v>118</v>
      </c>
      <c r="D206" s="440" t="s">
        <v>502</v>
      </c>
      <c r="E206" s="434" t="s">
        <v>18</v>
      </c>
      <c r="F206" s="249" t="s">
        <v>513</v>
      </c>
      <c r="G206" s="247">
        <v>0</v>
      </c>
      <c r="H206" s="435">
        <v>100</v>
      </c>
      <c r="I206" s="239"/>
      <c r="J206" s="434"/>
      <c r="K206" s="434"/>
      <c r="L206" s="438"/>
      <c r="M206" s="434"/>
      <c r="N206" s="434"/>
      <c r="O206" s="435"/>
      <c r="P206" s="238"/>
      <c r="Q206" s="436"/>
      <c r="R206" s="432"/>
      <c r="S206" s="512"/>
      <c r="T206" s="318"/>
      <c r="U206" s="60"/>
    </row>
    <row r="207" spans="1:21" s="60" customFormat="1" ht="53.25" customHeight="1" x14ac:dyDescent="0.25">
      <c r="A207" s="506"/>
      <c r="B207" s="509"/>
      <c r="C207" s="128"/>
      <c r="D207" s="466" t="s">
        <v>644</v>
      </c>
      <c r="E207" s="20"/>
      <c r="F207" s="305"/>
      <c r="G207" s="306"/>
      <c r="H207" s="303"/>
      <c r="I207" s="86">
        <f>(H205+H206)/2</f>
        <v>100</v>
      </c>
      <c r="J207" s="20"/>
      <c r="K207" s="466" t="s">
        <v>644</v>
      </c>
      <c r="L207" s="20"/>
      <c r="M207" s="124"/>
      <c r="N207" s="124"/>
      <c r="O207" s="303"/>
      <c r="P207" s="18">
        <f>O205</f>
        <v>97.926741434303949</v>
      </c>
      <c r="Q207" s="18">
        <f>(I207+P207)/2</f>
        <v>98.963370717151975</v>
      </c>
      <c r="R207" s="447" t="s">
        <v>112</v>
      </c>
      <c r="S207" s="512"/>
      <c r="T207" s="318"/>
      <c r="U207" s="315"/>
    </row>
    <row r="208" spans="1:21" s="316" customFormat="1" ht="106.5" customHeight="1" x14ac:dyDescent="0.25">
      <c r="A208" s="506"/>
      <c r="B208" s="509"/>
      <c r="C208" s="431" t="s">
        <v>123</v>
      </c>
      <c r="D208" s="59" t="s">
        <v>515</v>
      </c>
      <c r="E208" s="19"/>
      <c r="F208" s="323"/>
      <c r="G208" s="323"/>
      <c r="H208" s="322"/>
      <c r="I208" s="67"/>
      <c r="J208" s="431" t="str">
        <f>C208</f>
        <v>IV</v>
      </c>
      <c r="K208" s="59" t="str">
        <f>D208</f>
        <v>Реализация дополнительных общеобразовательных предпрофессиональных программ в области искусств - народные инструменты</v>
      </c>
      <c r="L208" s="19"/>
      <c r="M208" s="96"/>
      <c r="N208" s="96"/>
      <c r="O208" s="322"/>
      <c r="P208" s="324"/>
      <c r="Q208" s="35"/>
      <c r="R208" s="431"/>
      <c r="S208" s="512"/>
      <c r="T208" s="318"/>
    </row>
    <row r="209" spans="1:21" s="60" customFormat="1" ht="126" customHeight="1" x14ac:dyDescent="0.25">
      <c r="A209" s="506"/>
      <c r="B209" s="509"/>
      <c r="C209" s="19" t="s">
        <v>124</v>
      </c>
      <c r="D209" s="41" t="s">
        <v>510</v>
      </c>
      <c r="E209" s="19" t="s">
        <v>18</v>
      </c>
      <c r="F209" s="64" t="s">
        <v>509</v>
      </c>
      <c r="G209" s="321">
        <v>82.1</v>
      </c>
      <c r="H209" s="321">
        <v>100</v>
      </c>
      <c r="I209" s="63"/>
      <c r="J209" s="19" t="str">
        <f>C209</f>
        <v>4.1.</v>
      </c>
      <c r="K209" s="19" t="s">
        <v>106</v>
      </c>
      <c r="L209" s="19" t="s">
        <v>507</v>
      </c>
      <c r="M209" s="325">
        <v>13639</v>
      </c>
      <c r="N209" s="325">
        <v>13302</v>
      </c>
      <c r="O209" s="321">
        <f>IF(N209/M209*100&gt;110,110,N209/M209*100)</f>
        <v>97.529144365422681</v>
      </c>
      <c r="P209" s="326"/>
      <c r="Q209" s="35"/>
      <c r="R209" s="431"/>
      <c r="S209" s="512"/>
      <c r="T209" s="318"/>
    </row>
    <row r="210" spans="1:21" s="60" customFormat="1" ht="59.25" customHeight="1" x14ac:dyDescent="0.25">
      <c r="A210" s="506"/>
      <c r="B210" s="509"/>
      <c r="C210" s="19" t="s">
        <v>127</v>
      </c>
      <c r="D210" s="41" t="s">
        <v>502</v>
      </c>
      <c r="E210" s="19" t="s">
        <v>18</v>
      </c>
      <c r="F210" s="64" t="s">
        <v>513</v>
      </c>
      <c r="G210" s="327">
        <v>0</v>
      </c>
      <c r="H210" s="321">
        <v>100</v>
      </c>
      <c r="I210" s="63"/>
      <c r="J210" s="19"/>
      <c r="K210" s="19"/>
      <c r="L210" s="153"/>
      <c r="M210" s="19"/>
      <c r="N210" s="19"/>
      <c r="O210" s="321"/>
      <c r="P210" s="326"/>
      <c r="Q210" s="35"/>
      <c r="R210" s="431"/>
      <c r="S210" s="512"/>
      <c r="T210" s="318"/>
    </row>
    <row r="211" spans="1:21" s="60" customFormat="1" ht="53.25" customHeight="1" x14ac:dyDescent="0.25">
      <c r="A211" s="506"/>
      <c r="B211" s="509"/>
      <c r="C211" s="128"/>
      <c r="D211" s="466" t="s">
        <v>644</v>
      </c>
      <c r="E211" s="20"/>
      <c r="F211" s="305"/>
      <c r="G211" s="306"/>
      <c r="H211" s="303"/>
      <c r="I211" s="86">
        <f>(H209+H210)/2</f>
        <v>100</v>
      </c>
      <c r="J211" s="20"/>
      <c r="K211" s="466" t="s">
        <v>644</v>
      </c>
      <c r="L211" s="20"/>
      <c r="M211" s="124"/>
      <c r="N211" s="124"/>
      <c r="O211" s="303"/>
      <c r="P211" s="18">
        <f>O209</f>
        <v>97.529144365422681</v>
      </c>
      <c r="Q211" s="18">
        <f>(I211+P211)/2</f>
        <v>98.764572182711333</v>
      </c>
      <c r="R211" s="447" t="s">
        <v>112</v>
      </c>
      <c r="S211" s="512"/>
      <c r="T211" s="318"/>
      <c r="U211" s="315"/>
    </row>
    <row r="212" spans="1:21" s="316" customFormat="1" ht="112.5" customHeight="1" x14ac:dyDescent="0.25">
      <c r="A212" s="506"/>
      <c r="B212" s="509"/>
      <c r="C212" s="431" t="s">
        <v>129</v>
      </c>
      <c r="D212" s="59" t="s">
        <v>517</v>
      </c>
      <c r="E212" s="19"/>
      <c r="F212" s="323"/>
      <c r="G212" s="323"/>
      <c r="H212" s="322"/>
      <c r="I212" s="67"/>
      <c r="J212" s="431" t="str">
        <f>C212</f>
        <v>V</v>
      </c>
      <c r="K212" s="59" t="str">
        <f>D212</f>
        <v>Реализация дополнительных общеобразовательных предпрофессиональных программ в области искусств - хореографическое творчество</v>
      </c>
      <c r="L212" s="19"/>
      <c r="M212" s="96"/>
      <c r="N212" s="96"/>
      <c r="O212" s="322"/>
      <c r="P212" s="324"/>
      <c r="Q212" s="35"/>
      <c r="R212" s="431"/>
      <c r="S212" s="512"/>
      <c r="T212" s="318"/>
    </row>
    <row r="213" spans="1:21" s="60" customFormat="1" ht="111.75" customHeight="1" x14ac:dyDescent="0.25">
      <c r="A213" s="506"/>
      <c r="B213" s="509"/>
      <c r="C213" s="19" t="s">
        <v>131</v>
      </c>
      <c r="D213" s="41" t="s">
        <v>510</v>
      </c>
      <c r="E213" s="19" t="s">
        <v>18</v>
      </c>
      <c r="F213" s="64" t="s">
        <v>509</v>
      </c>
      <c r="G213" s="321">
        <v>82.1</v>
      </c>
      <c r="H213" s="321">
        <v>100</v>
      </c>
      <c r="I213" s="63"/>
      <c r="J213" s="19" t="str">
        <f>C213</f>
        <v>5.1.</v>
      </c>
      <c r="K213" s="19" t="s">
        <v>106</v>
      </c>
      <c r="L213" s="19" t="s">
        <v>507</v>
      </c>
      <c r="M213" s="325">
        <v>19143</v>
      </c>
      <c r="N213" s="325">
        <v>18966</v>
      </c>
      <c r="O213" s="321">
        <f>IF(N213/M213*100&gt;110,110,N213/M213*100)</f>
        <v>99.075380034477362</v>
      </c>
      <c r="P213" s="326"/>
      <c r="Q213" s="35"/>
      <c r="R213" s="431"/>
      <c r="S213" s="512"/>
      <c r="T213" s="318"/>
    </row>
    <row r="214" spans="1:21" s="60" customFormat="1" ht="74.25" customHeight="1" x14ac:dyDescent="0.25">
      <c r="A214" s="506"/>
      <c r="B214" s="509"/>
      <c r="C214" s="19" t="s">
        <v>183</v>
      </c>
      <c r="D214" s="41" t="s">
        <v>502</v>
      </c>
      <c r="E214" s="19" t="s">
        <v>18</v>
      </c>
      <c r="F214" s="64" t="s">
        <v>513</v>
      </c>
      <c r="G214" s="327">
        <v>0</v>
      </c>
      <c r="H214" s="321">
        <v>100</v>
      </c>
      <c r="I214" s="63"/>
      <c r="J214" s="19"/>
      <c r="K214" s="19"/>
      <c r="L214" s="153"/>
      <c r="M214" s="19"/>
      <c r="N214" s="19"/>
      <c r="O214" s="321"/>
      <c r="P214" s="326"/>
      <c r="Q214" s="35"/>
      <c r="R214" s="431"/>
      <c r="S214" s="512"/>
      <c r="T214" s="318"/>
    </row>
    <row r="215" spans="1:21" s="60" customFormat="1" ht="53.25" customHeight="1" x14ac:dyDescent="0.25">
      <c r="A215" s="506"/>
      <c r="B215" s="509"/>
      <c r="C215" s="128"/>
      <c r="D215" s="466" t="s">
        <v>644</v>
      </c>
      <c r="E215" s="20"/>
      <c r="F215" s="305"/>
      <c r="G215" s="306"/>
      <c r="H215" s="303"/>
      <c r="I215" s="86">
        <f>(H213+H214)/2</f>
        <v>100</v>
      </c>
      <c r="J215" s="20"/>
      <c r="K215" s="466" t="s">
        <v>644</v>
      </c>
      <c r="L215" s="20"/>
      <c r="M215" s="124"/>
      <c r="N215" s="124"/>
      <c r="O215" s="303"/>
      <c r="P215" s="18">
        <f>O213</f>
        <v>99.075380034477362</v>
      </c>
      <c r="Q215" s="18">
        <f>(I215+P215)/2</f>
        <v>99.537690017238674</v>
      </c>
      <c r="R215" s="447" t="s">
        <v>112</v>
      </c>
      <c r="S215" s="512"/>
      <c r="T215" s="318"/>
      <c r="U215" s="315"/>
    </row>
    <row r="216" spans="1:21" s="316" customFormat="1" ht="108.75" customHeight="1" x14ac:dyDescent="0.25">
      <c r="A216" s="506"/>
      <c r="B216" s="509"/>
      <c r="C216" s="431" t="s">
        <v>140</v>
      </c>
      <c r="D216" s="59" t="s">
        <v>512</v>
      </c>
      <c r="E216" s="19"/>
      <c r="F216" s="323"/>
      <c r="G216" s="323"/>
      <c r="H216" s="322"/>
      <c r="I216" s="67"/>
      <c r="J216" s="431" t="str">
        <f>C216</f>
        <v>VI</v>
      </c>
      <c r="K216" s="59" t="str">
        <f>D216</f>
        <v>Реализация дополнительных общеобразовательных предпрофессиональных программ в области искусств - живопись</v>
      </c>
      <c r="L216" s="19"/>
      <c r="M216" s="96"/>
      <c r="N216" s="96"/>
      <c r="O216" s="322"/>
      <c r="P216" s="324"/>
      <c r="Q216" s="35"/>
      <c r="R216" s="431"/>
      <c r="S216" s="512"/>
      <c r="T216" s="318"/>
    </row>
    <row r="217" spans="1:21" s="60" customFormat="1" ht="131.25" customHeight="1" x14ac:dyDescent="0.25">
      <c r="A217" s="506"/>
      <c r="B217" s="509"/>
      <c r="C217" s="19" t="s">
        <v>142</v>
      </c>
      <c r="D217" s="41" t="s">
        <v>510</v>
      </c>
      <c r="E217" s="19" t="s">
        <v>18</v>
      </c>
      <c r="F217" s="64" t="s">
        <v>509</v>
      </c>
      <c r="G217" s="321">
        <v>82.1</v>
      </c>
      <c r="H217" s="321">
        <v>100</v>
      </c>
      <c r="I217" s="63"/>
      <c r="J217" s="19" t="str">
        <f>C217</f>
        <v>6.1.</v>
      </c>
      <c r="K217" s="19" t="s">
        <v>106</v>
      </c>
      <c r="L217" s="19" t="s">
        <v>507</v>
      </c>
      <c r="M217" s="325">
        <v>33736</v>
      </c>
      <c r="N217" s="325">
        <v>32732</v>
      </c>
      <c r="O217" s="321">
        <f>IF(N217/M217*100&gt;110,110,N217/M217*100)</f>
        <v>97.023950675835906</v>
      </c>
      <c r="P217" s="326"/>
      <c r="Q217" s="35"/>
      <c r="R217" s="431"/>
      <c r="S217" s="512"/>
      <c r="T217" s="318"/>
    </row>
    <row r="218" spans="1:21" s="60" customFormat="1" ht="74.25" customHeight="1" x14ac:dyDescent="0.25">
      <c r="A218" s="506"/>
      <c r="B218" s="509"/>
      <c r="C218" s="19" t="s">
        <v>188</v>
      </c>
      <c r="D218" s="41" t="s">
        <v>502</v>
      </c>
      <c r="E218" s="19" t="s">
        <v>18</v>
      </c>
      <c r="F218" s="64" t="s">
        <v>513</v>
      </c>
      <c r="G218" s="327">
        <v>0</v>
      </c>
      <c r="H218" s="321">
        <v>100</v>
      </c>
      <c r="I218" s="63"/>
      <c r="J218" s="19"/>
      <c r="K218" s="19"/>
      <c r="L218" s="153"/>
      <c r="M218" s="19"/>
      <c r="N218" s="19"/>
      <c r="O218" s="321"/>
      <c r="P218" s="326"/>
      <c r="Q218" s="35"/>
      <c r="R218" s="431"/>
      <c r="S218" s="512"/>
      <c r="T218" s="318"/>
    </row>
    <row r="219" spans="1:21" s="60" customFormat="1" ht="53.25" customHeight="1" x14ac:dyDescent="0.25">
      <c r="A219" s="506"/>
      <c r="B219" s="509"/>
      <c r="C219" s="128"/>
      <c r="D219" s="466" t="s">
        <v>644</v>
      </c>
      <c r="E219" s="20"/>
      <c r="F219" s="305"/>
      <c r="G219" s="306"/>
      <c r="H219" s="303"/>
      <c r="I219" s="86">
        <f>(H217+H218)/2</f>
        <v>100</v>
      </c>
      <c r="J219" s="20"/>
      <c r="K219" s="466" t="s">
        <v>644</v>
      </c>
      <c r="L219" s="20"/>
      <c r="M219" s="124"/>
      <c r="N219" s="124"/>
      <c r="O219" s="303"/>
      <c r="P219" s="18">
        <f>O217</f>
        <v>97.023950675835906</v>
      </c>
      <c r="Q219" s="18">
        <f>(I219+P219)/2</f>
        <v>98.51197533791796</v>
      </c>
      <c r="R219" s="447" t="s">
        <v>112</v>
      </c>
      <c r="S219" s="512"/>
      <c r="T219" s="318"/>
      <c r="U219" s="315"/>
    </row>
    <row r="220" spans="1:21" s="243" customFormat="1" ht="114.75" customHeight="1" x14ac:dyDescent="0.25">
      <c r="A220" s="506"/>
      <c r="B220" s="509"/>
      <c r="C220" s="431" t="s">
        <v>144</v>
      </c>
      <c r="D220" s="34" t="s">
        <v>521</v>
      </c>
      <c r="E220" s="434"/>
      <c r="F220" s="240"/>
      <c r="G220" s="240"/>
      <c r="H220" s="237"/>
      <c r="I220" s="246"/>
      <c r="J220" s="432" t="str">
        <f>C220</f>
        <v>VII</v>
      </c>
      <c r="K220" s="34" t="str">
        <f>D220</f>
        <v>Реализация дополнительных общеобразовательных предпрофессиональных программ в области искусств - дизайн</v>
      </c>
      <c r="L220" s="434"/>
      <c r="M220" s="245"/>
      <c r="N220" s="245"/>
      <c r="O220" s="237"/>
      <c r="P220" s="244"/>
      <c r="Q220" s="436"/>
      <c r="R220" s="432"/>
      <c r="S220" s="512"/>
      <c r="T220" s="318"/>
      <c r="U220" s="316"/>
    </row>
    <row r="221" spans="1:21" ht="119.25" customHeight="1" x14ac:dyDescent="0.25">
      <c r="A221" s="506"/>
      <c r="B221" s="509"/>
      <c r="C221" s="19" t="s">
        <v>146</v>
      </c>
      <c r="D221" s="440" t="s">
        <v>510</v>
      </c>
      <c r="E221" s="434" t="s">
        <v>18</v>
      </c>
      <c r="F221" s="249" t="s">
        <v>509</v>
      </c>
      <c r="G221" s="435">
        <v>82.1</v>
      </c>
      <c r="H221" s="435">
        <v>100</v>
      </c>
      <c r="I221" s="239"/>
      <c r="J221" s="434" t="str">
        <f>C221</f>
        <v>7.1.</v>
      </c>
      <c r="K221" s="434" t="s">
        <v>106</v>
      </c>
      <c r="L221" s="434" t="s">
        <v>507</v>
      </c>
      <c r="M221" s="248">
        <v>8284</v>
      </c>
      <c r="N221" s="248">
        <v>7942</v>
      </c>
      <c r="O221" s="435">
        <f>IF(N221/M221*100&gt;110,110,N221/M221*100)</f>
        <v>95.87155963302753</v>
      </c>
      <c r="P221" s="238"/>
      <c r="Q221" s="436"/>
      <c r="R221" s="432"/>
      <c r="S221" s="512"/>
      <c r="T221" s="318"/>
      <c r="U221" s="60"/>
    </row>
    <row r="222" spans="1:21" ht="74.25" customHeight="1" x14ac:dyDescent="0.25">
      <c r="A222" s="506"/>
      <c r="B222" s="509"/>
      <c r="C222" s="19" t="s">
        <v>433</v>
      </c>
      <c r="D222" s="440" t="s">
        <v>502</v>
      </c>
      <c r="E222" s="434" t="s">
        <v>18</v>
      </c>
      <c r="F222" s="249" t="s">
        <v>513</v>
      </c>
      <c r="G222" s="247">
        <v>0</v>
      </c>
      <c r="H222" s="435">
        <v>100</v>
      </c>
      <c r="I222" s="239"/>
      <c r="J222" s="434"/>
      <c r="K222" s="434"/>
      <c r="L222" s="438"/>
      <c r="M222" s="434"/>
      <c r="N222" s="434"/>
      <c r="O222" s="435"/>
      <c r="P222" s="238"/>
      <c r="Q222" s="436"/>
      <c r="R222" s="432"/>
      <c r="S222" s="512"/>
      <c r="T222" s="318"/>
      <c r="U222" s="60"/>
    </row>
    <row r="223" spans="1:21" s="60" customFormat="1" ht="53.25" customHeight="1" x14ac:dyDescent="0.25">
      <c r="A223" s="506"/>
      <c r="B223" s="509"/>
      <c r="C223" s="128"/>
      <c r="D223" s="466" t="s">
        <v>644</v>
      </c>
      <c r="E223" s="20"/>
      <c r="F223" s="305"/>
      <c r="G223" s="306"/>
      <c r="H223" s="303"/>
      <c r="I223" s="86">
        <f>(H221+H222)/2</f>
        <v>100</v>
      </c>
      <c r="J223" s="20"/>
      <c r="K223" s="466" t="s">
        <v>644</v>
      </c>
      <c r="L223" s="20"/>
      <c r="M223" s="124"/>
      <c r="N223" s="124"/>
      <c r="O223" s="303"/>
      <c r="P223" s="18">
        <f>O221</f>
        <v>95.87155963302753</v>
      </c>
      <c r="Q223" s="18">
        <f>(I223+P223)/2</f>
        <v>97.935779816513758</v>
      </c>
      <c r="R223" s="447" t="s">
        <v>112</v>
      </c>
      <c r="S223" s="512"/>
      <c r="T223" s="318"/>
      <c r="U223" s="315"/>
    </row>
    <row r="224" spans="1:21" s="243" customFormat="1" ht="105.75" customHeight="1" x14ac:dyDescent="0.25">
      <c r="A224" s="506"/>
      <c r="B224" s="509"/>
      <c r="C224" s="431" t="s">
        <v>147</v>
      </c>
      <c r="D224" s="34" t="s">
        <v>506</v>
      </c>
      <c r="E224" s="434"/>
      <c r="F224" s="240"/>
      <c r="G224" s="240"/>
      <c r="H224" s="237"/>
      <c r="I224" s="246"/>
      <c r="J224" s="432" t="str">
        <f>C224</f>
        <v>VIII</v>
      </c>
      <c r="K224" s="34" t="str">
        <f>D224</f>
        <v>Реализация дополнительных общеобразовательных общеразвивающих программ</v>
      </c>
      <c r="L224" s="434"/>
      <c r="M224" s="245"/>
      <c r="N224" s="245"/>
      <c r="O224" s="237"/>
      <c r="P224" s="244"/>
      <c r="Q224" s="436"/>
      <c r="R224" s="432"/>
      <c r="S224" s="512"/>
      <c r="T224" s="318"/>
      <c r="U224" s="316"/>
    </row>
    <row r="225" spans="1:21" ht="107.25" customHeight="1" x14ac:dyDescent="0.25">
      <c r="A225" s="506"/>
      <c r="B225" s="509"/>
      <c r="C225" s="19" t="s">
        <v>149</v>
      </c>
      <c r="D225" s="440" t="s">
        <v>505</v>
      </c>
      <c r="E225" s="434" t="s">
        <v>18</v>
      </c>
      <c r="F225" s="249" t="s">
        <v>504</v>
      </c>
      <c r="G225" s="435">
        <v>17.899999999999999</v>
      </c>
      <c r="H225" s="435">
        <v>100</v>
      </c>
      <c r="I225" s="239"/>
      <c r="J225" s="434" t="str">
        <f>C225</f>
        <v>8.1.</v>
      </c>
      <c r="K225" s="440" t="s">
        <v>503</v>
      </c>
      <c r="L225" s="434" t="s">
        <v>414</v>
      </c>
      <c r="M225" s="248">
        <v>17325</v>
      </c>
      <c r="N225" s="248">
        <v>16632</v>
      </c>
      <c r="O225" s="435">
        <f>IF(N225/M225*100&gt;110,110,N225/M225*100)</f>
        <v>96</v>
      </c>
      <c r="P225" s="238"/>
      <c r="Q225" s="436"/>
      <c r="R225" s="432"/>
      <c r="S225" s="512"/>
      <c r="T225" s="318"/>
      <c r="U225" s="60"/>
    </row>
    <row r="226" spans="1:21" ht="78.75" customHeight="1" x14ac:dyDescent="0.25">
      <c r="A226" s="506"/>
      <c r="B226" s="509"/>
      <c r="C226" s="19" t="s">
        <v>429</v>
      </c>
      <c r="D226" s="440" t="s">
        <v>502</v>
      </c>
      <c r="E226" s="434" t="s">
        <v>18</v>
      </c>
      <c r="F226" s="249" t="s">
        <v>513</v>
      </c>
      <c r="G226" s="247">
        <v>0</v>
      </c>
      <c r="H226" s="435">
        <v>100</v>
      </c>
      <c r="I226" s="239"/>
      <c r="J226" s="434"/>
      <c r="K226" s="440"/>
      <c r="L226" s="434"/>
      <c r="M226" s="434"/>
      <c r="N226" s="434"/>
      <c r="O226" s="435"/>
      <c r="P226" s="238"/>
      <c r="Q226" s="436"/>
      <c r="R226" s="432"/>
      <c r="S226" s="512"/>
      <c r="T226" s="318"/>
      <c r="U226" s="60"/>
    </row>
    <row r="227" spans="1:21" ht="78.75" customHeight="1" x14ac:dyDescent="0.25">
      <c r="A227" s="506"/>
      <c r="B227" s="509"/>
      <c r="C227" s="19" t="s">
        <v>525</v>
      </c>
      <c r="D227" s="440" t="s">
        <v>499</v>
      </c>
      <c r="E227" s="434" t="s">
        <v>20</v>
      </c>
      <c r="F227" s="241">
        <v>77</v>
      </c>
      <c r="G227" s="240">
        <v>77</v>
      </c>
      <c r="H227" s="435">
        <f>IF(G227/F227*100&gt;100,100,G227/F227*100)</f>
        <v>100</v>
      </c>
      <c r="I227" s="239"/>
      <c r="J227" s="434"/>
      <c r="K227" s="440"/>
      <c r="L227" s="434"/>
      <c r="M227" s="434"/>
      <c r="N227" s="434"/>
      <c r="O227" s="435"/>
      <c r="P227" s="238"/>
      <c r="Q227" s="436"/>
      <c r="R227" s="432"/>
      <c r="S227" s="512"/>
      <c r="T227" s="318"/>
      <c r="U227" s="60"/>
    </row>
    <row r="228" spans="1:21" s="60" customFormat="1" ht="53.25" customHeight="1" x14ac:dyDescent="0.25">
      <c r="A228" s="507"/>
      <c r="B228" s="510"/>
      <c r="C228" s="20"/>
      <c r="D228" s="466" t="s">
        <v>644</v>
      </c>
      <c r="E228" s="20"/>
      <c r="F228" s="303"/>
      <c r="G228" s="303"/>
      <c r="H228" s="303"/>
      <c r="I228" s="86">
        <f>(H225+H226+H227)/3</f>
        <v>100</v>
      </c>
      <c r="J228" s="20"/>
      <c r="K228" s="466" t="s">
        <v>644</v>
      </c>
      <c r="L228" s="20"/>
      <c r="M228" s="20"/>
      <c r="N228" s="20"/>
      <c r="O228" s="303"/>
      <c r="P228" s="18">
        <f>O225</f>
        <v>96</v>
      </c>
      <c r="Q228" s="18">
        <f>(I228+P228)/2</f>
        <v>98</v>
      </c>
      <c r="R228" s="447" t="s">
        <v>112</v>
      </c>
      <c r="S228" s="512"/>
      <c r="T228" s="318"/>
    </row>
    <row r="229" spans="1:21" s="243" customFormat="1" ht="90" customHeight="1" x14ac:dyDescent="0.25">
      <c r="A229" s="505" t="s">
        <v>390</v>
      </c>
      <c r="B229" s="508" t="s">
        <v>524</v>
      </c>
      <c r="C229" s="432" t="s">
        <v>13</v>
      </c>
      <c r="D229" s="34" t="s">
        <v>516</v>
      </c>
      <c r="E229" s="434"/>
      <c r="F229" s="249"/>
      <c r="G229" s="240"/>
      <c r="H229" s="237"/>
      <c r="I229" s="246"/>
      <c r="J229" s="432" t="s">
        <v>13</v>
      </c>
      <c r="K229" s="34" t="str">
        <f>D229</f>
        <v>Реализация дополнительных общеобразовательных предпрофессиональных программ в области искусств - фортепиано</v>
      </c>
      <c r="L229" s="434"/>
      <c r="M229" s="245"/>
      <c r="N229" s="245"/>
      <c r="O229" s="237"/>
      <c r="P229" s="244"/>
      <c r="Q229" s="436"/>
      <c r="R229" s="432"/>
      <c r="S229" s="511" t="s">
        <v>104</v>
      </c>
      <c r="T229" s="318"/>
      <c r="U229" s="316"/>
    </row>
    <row r="230" spans="1:21" ht="123.75" customHeight="1" x14ac:dyDescent="0.25">
      <c r="A230" s="506"/>
      <c r="B230" s="509"/>
      <c r="C230" s="434" t="s">
        <v>16</v>
      </c>
      <c r="D230" s="440" t="s">
        <v>510</v>
      </c>
      <c r="E230" s="434" t="s">
        <v>18</v>
      </c>
      <c r="F230" s="249" t="s">
        <v>509</v>
      </c>
      <c r="G230" s="435">
        <v>88.3</v>
      </c>
      <c r="H230" s="435">
        <v>100</v>
      </c>
      <c r="I230" s="239"/>
      <c r="J230" s="434" t="str">
        <f>C230</f>
        <v>1.1.</v>
      </c>
      <c r="K230" s="440" t="s">
        <v>508</v>
      </c>
      <c r="L230" s="434" t="s">
        <v>507</v>
      </c>
      <c r="M230" s="248">
        <v>11580</v>
      </c>
      <c r="N230" s="248">
        <v>11733</v>
      </c>
      <c r="O230" s="435">
        <f>IF(N230/M230*100&gt;110,110,N230/M230*100)</f>
        <v>101.32124352331606</v>
      </c>
      <c r="P230" s="238"/>
      <c r="Q230" s="436"/>
      <c r="R230" s="432"/>
      <c r="S230" s="511"/>
      <c r="T230" s="318"/>
      <c r="U230" s="60"/>
    </row>
    <row r="231" spans="1:21" ht="49.5" customHeight="1" x14ac:dyDescent="0.25">
      <c r="A231" s="506"/>
      <c r="B231" s="509"/>
      <c r="C231" s="434" t="s">
        <v>21</v>
      </c>
      <c r="D231" s="440" t="s">
        <v>502</v>
      </c>
      <c r="E231" s="434" t="s">
        <v>18</v>
      </c>
      <c r="F231" s="249" t="s">
        <v>513</v>
      </c>
      <c r="G231" s="247">
        <v>0</v>
      </c>
      <c r="H231" s="435">
        <v>100</v>
      </c>
      <c r="I231" s="239"/>
      <c r="J231" s="434"/>
      <c r="K231" s="434"/>
      <c r="L231" s="438"/>
      <c r="M231" s="434"/>
      <c r="N231" s="434"/>
      <c r="O231" s="435"/>
      <c r="P231" s="238"/>
      <c r="Q231" s="436"/>
      <c r="R231" s="432"/>
      <c r="S231" s="511"/>
      <c r="T231" s="318"/>
      <c r="U231" s="60"/>
    </row>
    <row r="232" spans="1:21" s="60" customFormat="1" ht="53.25" customHeight="1" x14ac:dyDescent="0.25">
      <c r="A232" s="506"/>
      <c r="B232" s="509"/>
      <c r="C232" s="128"/>
      <c r="D232" s="466" t="s">
        <v>644</v>
      </c>
      <c r="E232" s="20"/>
      <c r="F232" s="127"/>
      <c r="G232" s="306"/>
      <c r="H232" s="303"/>
      <c r="I232" s="86">
        <f>(H230+H231)/2</f>
        <v>100</v>
      </c>
      <c r="J232" s="20"/>
      <c r="K232" s="466" t="s">
        <v>644</v>
      </c>
      <c r="L232" s="20"/>
      <c r="M232" s="124"/>
      <c r="N232" s="124"/>
      <c r="O232" s="303"/>
      <c r="P232" s="18">
        <f>O230</f>
        <v>101.32124352331606</v>
      </c>
      <c r="Q232" s="18">
        <f>(I232+P232)/2</f>
        <v>100.66062176165804</v>
      </c>
      <c r="R232" s="447" t="s">
        <v>25</v>
      </c>
      <c r="S232" s="512"/>
      <c r="T232" s="318"/>
      <c r="U232" s="315"/>
    </row>
    <row r="233" spans="1:21" s="243" customFormat="1" ht="111.75" customHeight="1" x14ac:dyDescent="0.25">
      <c r="A233" s="506"/>
      <c r="B233" s="509"/>
      <c r="C233" s="432" t="s">
        <v>26</v>
      </c>
      <c r="D233" s="34" t="s">
        <v>523</v>
      </c>
      <c r="E233" s="434"/>
      <c r="F233" s="249"/>
      <c r="G233" s="240"/>
      <c r="H233" s="237"/>
      <c r="I233" s="246"/>
      <c r="J233" s="432" t="s">
        <v>26</v>
      </c>
      <c r="K233" s="34" t="str">
        <f>D233</f>
        <v>Реализация дополнительных общеобразовательных предпрофессиональных программ в области искусств - духовые и ударные инструменты</v>
      </c>
      <c r="L233" s="434"/>
      <c r="M233" s="245"/>
      <c r="N233" s="245"/>
      <c r="O233" s="237"/>
      <c r="P233" s="244"/>
      <c r="Q233" s="436"/>
      <c r="R233" s="432"/>
      <c r="S233" s="511"/>
      <c r="T233" s="318"/>
      <c r="U233" s="316"/>
    </row>
    <row r="234" spans="1:21" ht="118.5" customHeight="1" x14ac:dyDescent="0.25">
      <c r="A234" s="506"/>
      <c r="B234" s="509"/>
      <c r="C234" s="434" t="s">
        <v>28</v>
      </c>
      <c r="D234" s="440" t="s">
        <v>510</v>
      </c>
      <c r="E234" s="434" t="s">
        <v>18</v>
      </c>
      <c r="F234" s="249" t="s">
        <v>509</v>
      </c>
      <c r="G234" s="435">
        <v>88.3</v>
      </c>
      <c r="H234" s="435">
        <v>100</v>
      </c>
      <c r="I234" s="239"/>
      <c r="J234" s="434" t="s">
        <v>28</v>
      </c>
      <c r="K234" s="440" t="s">
        <v>508</v>
      </c>
      <c r="L234" s="434" t="s">
        <v>507</v>
      </c>
      <c r="M234" s="248">
        <v>17072</v>
      </c>
      <c r="N234" s="248">
        <v>17070</v>
      </c>
      <c r="O234" s="435">
        <f>IF(N234/M234*100&gt;110,110,N234/M234*100)</f>
        <v>99.988284910965319</v>
      </c>
      <c r="P234" s="238"/>
      <c r="Q234" s="436"/>
      <c r="R234" s="432"/>
      <c r="S234" s="511"/>
      <c r="T234" s="318"/>
      <c r="U234" s="60"/>
    </row>
    <row r="235" spans="1:21" ht="58.5" customHeight="1" x14ac:dyDescent="0.25">
      <c r="A235" s="506"/>
      <c r="B235" s="509"/>
      <c r="C235" s="434" t="s">
        <v>30</v>
      </c>
      <c r="D235" s="440" t="s">
        <v>502</v>
      </c>
      <c r="E235" s="434" t="s">
        <v>18</v>
      </c>
      <c r="F235" s="249" t="s">
        <v>513</v>
      </c>
      <c r="G235" s="247">
        <v>0</v>
      </c>
      <c r="H235" s="435">
        <v>100</v>
      </c>
      <c r="I235" s="239"/>
      <c r="J235" s="434"/>
      <c r="K235" s="434"/>
      <c r="L235" s="438"/>
      <c r="M235" s="434"/>
      <c r="N235" s="434"/>
      <c r="O235" s="435"/>
      <c r="P235" s="238"/>
      <c r="Q235" s="436"/>
      <c r="R235" s="432"/>
      <c r="S235" s="511"/>
      <c r="T235" s="318"/>
      <c r="U235" s="60"/>
    </row>
    <row r="236" spans="1:21" s="60" customFormat="1" ht="53.25" customHeight="1" x14ac:dyDescent="0.25">
      <c r="A236" s="506"/>
      <c r="B236" s="509"/>
      <c r="C236" s="128"/>
      <c r="D236" s="466" t="s">
        <v>644</v>
      </c>
      <c r="E236" s="20"/>
      <c r="F236" s="127"/>
      <c r="G236" s="306"/>
      <c r="H236" s="303"/>
      <c r="I236" s="86">
        <f>(H234+H235)/2</f>
        <v>100</v>
      </c>
      <c r="J236" s="20"/>
      <c r="K236" s="466" t="s">
        <v>644</v>
      </c>
      <c r="L236" s="20"/>
      <c r="M236" s="124"/>
      <c r="N236" s="124"/>
      <c r="O236" s="303"/>
      <c r="P236" s="18">
        <f>O234</f>
        <v>99.988284910965319</v>
      </c>
      <c r="Q236" s="18">
        <f>(I236+P236)/2</f>
        <v>99.99414245548266</v>
      </c>
      <c r="R236" s="447" t="s">
        <v>25</v>
      </c>
      <c r="S236" s="512"/>
      <c r="T236" s="318"/>
      <c r="U236" s="315"/>
    </row>
    <row r="237" spans="1:21" s="243" customFormat="1" ht="106.5" customHeight="1" x14ac:dyDescent="0.25">
      <c r="A237" s="506"/>
      <c r="B237" s="509"/>
      <c r="C237" s="432" t="s">
        <v>36</v>
      </c>
      <c r="D237" s="34" t="s">
        <v>522</v>
      </c>
      <c r="E237" s="434"/>
      <c r="F237" s="249"/>
      <c r="G237" s="240"/>
      <c r="H237" s="237"/>
      <c r="I237" s="246"/>
      <c r="J237" s="432" t="str">
        <f>C237</f>
        <v>III</v>
      </c>
      <c r="K237" s="34" t="str">
        <f>D237</f>
        <v>Реализация дополнительных общеобразовательных предпрофессиональных программ в области искусств - струнные инструменты</v>
      </c>
      <c r="L237" s="434"/>
      <c r="M237" s="245"/>
      <c r="N237" s="245"/>
      <c r="O237" s="237"/>
      <c r="P237" s="244"/>
      <c r="Q237" s="436"/>
      <c r="R237" s="432"/>
      <c r="S237" s="511"/>
      <c r="T237" s="318"/>
      <c r="U237" s="316"/>
    </row>
    <row r="238" spans="1:21" ht="123" customHeight="1" x14ac:dyDescent="0.25">
      <c r="A238" s="506"/>
      <c r="B238" s="509"/>
      <c r="C238" s="434" t="s">
        <v>38</v>
      </c>
      <c r="D238" s="440" t="s">
        <v>510</v>
      </c>
      <c r="E238" s="434" t="s">
        <v>18</v>
      </c>
      <c r="F238" s="249" t="s">
        <v>509</v>
      </c>
      <c r="G238" s="435">
        <v>88.3</v>
      </c>
      <c r="H238" s="435">
        <v>100</v>
      </c>
      <c r="I238" s="239"/>
      <c r="J238" s="434" t="str">
        <f>C238</f>
        <v>3.1.</v>
      </c>
      <c r="K238" s="440" t="s">
        <v>508</v>
      </c>
      <c r="L238" s="434" t="s">
        <v>507</v>
      </c>
      <c r="M238" s="248">
        <v>9687</v>
      </c>
      <c r="N238" s="248">
        <v>9732</v>
      </c>
      <c r="O238" s="435">
        <f>IF(N238/M238*100&gt;110,110,N238/M238*100)</f>
        <v>100.46454010529575</v>
      </c>
      <c r="P238" s="238"/>
      <c r="Q238" s="436"/>
      <c r="R238" s="432"/>
      <c r="S238" s="511"/>
      <c r="T238" s="318"/>
      <c r="U238" s="60"/>
    </row>
    <row r="239" spans="1:21" ht="64.5" customHeight="1" x14ac:dyDescent="0.25">
      <c r="A239" s="506"/>
      <c r="B239" s="509"/>
      <c r="C239" s="434" t="s">
        <v>118</v>
      </c>
      <c r="D239" s="440" t="s">
        <v>502</v>
      </c>
      <c r="E239" s="434" t="s">
        <v>18</v>
      </c>
      <c r="F239" s="249" t="s">
        <v>513</v>
      </c>
      <c r="G239" s="247">
        <v>0</v>
      </c>
      <c r="H239" s="435">
        <v>100</v>
      </c>
      <c r="I239" s="239"/>
      <c r="J239" s="434"/>
      <c r="K239" s="434"/>
      <c r="L239" s="438"/>
      <c r="M239" s="434"/>
      <c r="N239" s="434"/>
      <c r="O239" s="435"/>
      <c r="P239" s="238"/>
      <c r="Q239" s="436"/>
      <c r="R239" s="432"/>
      <c r="S239" s="511"/>
      <c r="T239" s="318"/>
      <c r="U239" s="60"/>
    </row>
    <row r="240" spans="1:21" s="60" customFormat="1" ht="53.25" customHeight="1" x14ac:dyDescent="0.25">
      <c r="A240" s="506"/>
      <c r="B240" s="509"/>
      <c r="C240" s="128"/>
      <c r="D240" s="466" t="s">
        <v>644</v>
      </c>
      <c r="E240" s="20"/>
      <c r="F240" s="127"/>
      <c r="G240" s="306"/>
      <c r="H240" s="303"/>
      <c r="I240" s="86">
        <f>(H238+H239)/2</f>
        <v>100</v>
      </c>
      <c r="J240" s="20"/>
      <c r="K240" s="466" t="s">
        <v>644</v>
      </c>
      <c r="L240" s="20"/>
      <c r="M240" s="124"/>
      <c r="N240" s="124"/>
      <c r="O240" s="303"/>
      <c r="P240" s="18">
        <f>O238</f>
        <v>100.46454010529575</v>
      </c>
      <c r="Q240" s="18">
        <f>(I240+P240)/2</f>
        <v>100.23227005264788</v>
      </c>
      <c r="R240" s="447" t="s">
        <v>25</v>
      </c>
      <c r="S240" s="512"/>
      <c r="T240" s="318"/>
      <c r="U240" s="315"/>
    </row>
    <row r="241" spans="1:21" s="243" customFormat="1" ht="82.5" customHeight="1" x14ac:dyDescent="0.25">
      <c r="A241" s="506"/>
      <c r="B241" s="509"/>
      <c r="C241" s="432" t="s">
        <v>123</v>
      </c>
      <c r="D241" s="34" t="s">
        <v>515</v>
      </c>
      <c r="E241" s="434"/>
      <c r="F241" s="249"/>
      <c r="G241" s="240"/>
      <c r="H241" s="237"/>
      <c r="I241" s="246"/>
      <c r="J241" s="432" t="str">
        <f>C241</f>
        <v>IV</v>
      </c>
      <c r="K241" s="34" t="str">
        <f>D241</f>
        <v>Реализация дополнительных общеобразовательных предпрофессиональных программ в области искусств - народные инструменты</v>
      </c>
      <c r="L241" s="434"/>
      <c r="M241" s="245"/>
      <c r="N241" s="245"/>
      <c r="O241" s="237"/>
      <c r="P241" s="244"/>
      <c r="Q241" s="436"/>
      <c r="R241" s="432"/>
      <c r="S241" s="511"/>
      <c r="T241" s="318"/>
      <c r="U241" s="316"/>
    </row>
    <row r="242" spans="1:21" ht="126" customHeight="1" x14ac:dyDescent="0.25">
      <c r="A242" s="506"/>
      <c r="B242" s="509"/>
      <c r="C242" s="434" t="s">
        <v>124</v>
      </c>
      <c r="D242" s="440" t="s">
        <v>510</v>
      </c>
      <c r="E242" s="434" t="s">
        <v>18</v>
      </c>
      <c r="F242" s="249" t="s">
        <v>509</v>
      </c>
      <c r="G242" s="435">
        <v>88.3</v>
      </c>
      <c r="H242" s="435">
        <v>100</v>
      </c>
      <c r="I242" s="239"/>
      <c r="J242" s="434" t="str">
        <f>C242</f>
        <v>4.1.</v>
      </c>
      <c r="K242" s="440" t="s">
        <v>508</v>
      </c>
      <c r="L242" s="434" t="s">
        <v>507</v>
      </c>
      <c r="M242" s="248">
        <v>21340</v>
      </c>
      <c r="N242" s="248">
        <v>21594</v>
      </c>
      <c r="O242" s="435">
        <f>IF(N242/M242*100&gt;110,110,N242/M242*100)</f>
        <v>101.19025304592316</v>
      </c>
      <c r="P242" s="238"/>
      <c r="Q242" s="436"/>
      <c r="R242" s="432"/>
      <c r="S242" s="511"/>
      <c r="T242" s="318"/>
      <c r="U242" s="60"/>
    </row>
    <row r="243" spans="1:21" ht="49.5" customHeight="1" x14ac:dyDescent="0.25">
      <c r="A243" s="506"/>
      <c r="B243" s="509"/>
      <c r="C243" s="434" t="s">
        <v>127</v>
      </c>
      <c r="D243" s="440" t="s">
        <v>502</v>
      </c>
      <c r="E243" s="434" t="s">
        <v>18</v>
      </c>
      <c r="F243" s="249" t="s">
        <v>513</v>
      </c>
      <c r="G243" s="247">
        <v>0</v>
      </c>
      <c r="H243" s="435">
        <v>100</v>
      </c>
      <c r="I243" s="239"/>
      <c r="J243" s="434"/>
      <c r="K243" s="434"/>
      <c r="L243" s="438"/>
      <c r="M243" s="434"/>
      <c r="N243" s="434"/>
      <c r="O243" s="435"/>
      <c r="P243" s="238"/>
      <c r="Q243" s="436"/>
      <c r="R243" s="432"/>
      <c r="S243" s="511"/>
      <c r="T243" s="318"/>
      <c r="U243" s="60"/>
    </row>
    <row r="244" spans="1:21" s="60" customFormat="1" ht="53.25" customHeight="1" x14ac:dyDescent="0.25">
      <c r="A244" s="506"/>
      <c r="B244" s="509"/>
      <c r="C244" s="128"/>
      <c r="D244" s="466" t="s">
        <v>644</v>
      </c>
      <c r="E244" s="20"/>
      <c r="F244" s="127"/>
      <c r="G244" s="306"/>
      <c r="H244" s="303"/>
      <c r="I244" s="86">
        <f>(H242+H243)/2</f>
        <v>100</v>
      </c>
      <c r="J244" s="20"/>
      <c r="K244" s="466" t="s">
        <v>644</v>
      </c>
      <c r="L244" s="20"/>
      <c r="M244" s="124"/>
      <c r="N244" s="124"/>
      <c r="O244" s="303"/>
      <c r="P244" s="18">
        <f>O242</f>
        <v>101.19025304592316</v>
      </c>
      <c r="Q244" s="18">
        <f>(I244+P244)/2</f>
        <v>100.59512652296158</v>
      </c>
      <c r="R244" s="447" t="s">
        <v>25</v>
      </c>
      <c r="S244" s="512"/>
      <c r="T244" s="318"/>
      <c r="U244" s="315"/>
    </row>
    <row r="245" spans="1:21" s="243" customFormat="1" ht="91.5" customHeight="1" x14ac:dyDescent="0.25">
      <c r="A245" s="506"/>
      <c r="B245" s="509"/>
      <c r="C245" s="432" t="s">
        <v>129</v>
      </c>
      <c r="D245" s="34" t="s">
        <v>517</v>
      </c>
      <c r="E245" s="434"/>
      <c r="F245" s="249"/>
      <c r="G245" s="240"/>
      <c r="H245" s="237"/>
      <c r="I245" s="246"/>
      <c r="J245" s="432" t="str">
        <f>C245</f>
        <v>V</v>
      </c>
      <c r="K245" s="34" t="str">
        <f>D245</f>
        <v>Реализация дополнительных общеобразовательных предпрофессиональных программ в области искусств - хореографическое творчество</v>
      </c>
      <c r="L245" s="434"/>
      <c r="M245" s="245"/>
      <c r="N245" s="245"/>
      <c r="O245" s="237"/>
      <c r="P245" s="244"/>
      <c r="Q245" s="436"/>
      <c r="R245" s="432"/>
      <c r="S245" s="511"/>
      <c r="T245" s="318"/>
      <c r="U245" s="316"/>
    </row>
    <row r="246" spans="1:21" ht="119.25" customHeight="1" x14ac:dyDescent="0.25">
      <c r="A246" s="506"/>
      <c r="B246" s="509"/>
      <c r="C246" s="434" t="s">
        <v>131</v>
      </c>
      <c r="D246" s="440" t="s">
        <v>510</v>
      </c>
      <c r="E246" s="434" t="s">
        <v>18</v>
      </c>
      <c r="F246" s="249" t="s">
        <v>509</v>
      </c>
      <c r="G246" s="435">
        <v>88.3</v>
      </c>
      <c r="H246" s="435">
        <v>100</v>
      </c>
      <c r="I246" s="239"/>
      <c r="J246" s="434" t="str">
        <f>C246</f>
        <v>5.1.</v>
      </c>
      <c r="K246" s="440" t="s">
        <v>508</v>
      </c>
      <c r="L246" s="437" t="s">
        <v>507</v>
      </c>
      <c r="M246" s="248">
        <v>21530</v>
      </c>
      <c r="N246" s="248">
        <v>21233</v>
      </c>
      <c r="O246" s="435">
        <f>IF(N246/M246*100&gt;110,110,N246/M246*100)</f>
        <v>98.620529493729677</v>
      </c>
      <c r="P246" s="238"/>
      <c r="Q246" s="436"/>
      <c r="R246" s="432"/>
      <c r="S246" s="511"/>
      <c r="T246" s="318"/>
      <c r="U246" s="60"/>
    </row>
    <row r="247" spans="1:21" ht="49.5" customHeight="1" x14ac:dyDescent="0.25">
      <c r="A247" s="506"/>
      <c r="B247" s="509"/>
      <c r="C247" s="434" t="s">
        <v>183</v>
      </c>
      <c r="D247" s="440" t="s">
        <v>502</v>
      </c>
      <c r="E247" s="434" t="s">
        <v>18</v>
      </c>
      <c r="F247" s="249" t="s">
        <v>513</v>
      </c>
      <c r="G247" s="247">
        <v>0</v>
      </c>
      <c r="H247" s="435">
        <v>100</v>
      </c>
      <c r="I247" s="239"/>
      <c r="J247" s="434"/>
      <c r="K247" s="434"/>
      <c r="L247" s="434"/>
      <c r="M247" s="434"/>
      <c r="N247" s="434"/>
      <c r="O247" s="435"/>
      <c r="P247" s="238"/>
      <c r="Q247" s="436"/>
      <c r="R247" s="432"/>
      <c r="S247" s="511"/>
      <c r="T247" s="318"/>
      <c r="U247" s="60"/>
    </row>
    <row r="248" spans="1:21" s="60" customFormat="1" ht="53.25" customHeight="1" x14ac:dyDescent="0.25">
      <c r="A248" s="506"/>
      <c r="B248" s="509"/>
      <c r="C248" s="128"/>
      <c r="D248" s="466" t="s">
        <v>644</v>
      </c>
      <c r="E248" s="20"/>
      <c r="F248" s="127"/>
      <c r="G248" s="306"/>
      <c r="H248" s="303"/>
      <c r="I248" s="86">
        <f>(H246+H247)/2</f>
        <v>100</v>
      </c>
      <c r="J248" s="20"/>
      <c r="K248" s="466" t="s">
        <v>644</v>
      </c>
      <c r="L248" s="20"/>
      <c r="M248" s="124"/>
      <c r="N248" s="124"/>
      <c r="O248" s="303"/>
      <c r="P248" s="18">
        <f>O246</f>
        <v>98.620529493729677</v>
      </c>
      <c r="Q248" s="18">
        <f>(I248+P248)/2</f>
        <v>99.310264746864846</v>
      </c>
      <c r="R248" s="447" t="s">
        <v>112</v>
      </c>
      <c r="S248" s="512"/>
      <c r="T248" s="318"/>
      <c r="U248" s="315"/>
    </row>
    <row r="249" spans="1:21" s="243" customFormat="1" ht="96" customHeight="1" x14ac:dyDescent="0.25">
      <c r="A249" s="506"/>
      <c r="B249" s="509"/>
      <c r="C249" s="432" t="s">
        <v>140</v>
      </c>
      <c r="D249" s="34" t="s">
        <v>512</v>
      </c>
      <c r="E249" s="434"/>
      <c r="F249" s="249"/>
      <c r="G249" s="240"/>
      <c r="H249" s="237"/>
      <c r="I249" s="246"/>
      <c r="J249" s="432" t="str">
        <f>C249</f>
        <v>VI</v>
      </c>
      <c r="K249" s="34" t="str">
        <f>D249</f>
        <v>Реализация дополнительных общеобразовательных предпрофессиональных программ в области искусств - живопись</v>
      </c>
      <c r="L249" s="434"/>
      <c r="M249" s="245"/>
      <c r="N249" s="245"/>
      <c r="O249" s="237"/>
      <c r="P249" s="244"/>
      <c r="Q249" s="436"/>
      <c r="R249" s="432"/>
      <c r="S249" s="511"/>
      <c r="T249" s="318"/>
      <c r="U249" s="316"/>
    </row>
    <row r="250" spans="1:21" ht="123.75" customHeight="1" x14ac:dyDescent="0.25">
      <c r="A250" s="506"/>
      <c r="B250" s="509"/>
      <c r="C250" s="434" t="s">
        <v>142</v>
      </c>
      <c r="D250" s="440" t="s">
        <v>510</v>
      </c>
      <c r="E250" s="434" t="s">
        <v>18</v>
      </c>
      <c r="F250" s="444" t="s">
        <v>509</v>
      </c>
      <c r="G250" s="435">
        <v>88.3</v>
      </c>
      <c r="H250" s="435">
        <v>100</v>
      </c>
      <c r="I250" s="239"/>
      <c r="J250" s="434" t="str">
        <f>C250</f>
        <v>6.1.</v>
      </c>
      <c r="K250" s="440" t="s">
        <v>508</v>
      </c>
      <c r="L250" s="434" t="s">
        <v>507</v>
      </c>
      <c r="M250" s="248">
        <v>72619</v>
      </c>
      <c r="N250" s="248">
        <v>75042</v>
      </c>
      <c r="O250" s="435">
        <f>IF(N250/M250*100&gt;110,110,N250/M250*100)</f>
        <v>103.33659235186383</v>
      </c>
      <c r="P250" s="238"/>
      <c r="Q250" s="436"/>
      <c r="R250" s="432"/>
      <c r="S250" s="511"/>
      <c r="T250" s="318"/>
      <c r="U250" s="60"/>
    </row>
    <row r="251" spans="1:21" ht="49.5" customHeight="1" x14ac:dyDescent="0.25">
      <c r="A251" s="506"/>
      <c r="B251" s="509"/>
      <c r="C251" s="434" t="s">
        <v>188</v>
      </c>
      <c r="D251" s="440" t="s">
        <v>502</v>
      </c>
      <c r="E251" s="434" t="s">
        <v>18</v>
      </c>
      <c r="F251" s="444">
        <v>0.5</v>
      </c>
      <c r="G251" s="247">
        <v>0</v>
      </c>
      <c r="H251" s="435">
        <v>100</v>
      </c>
      <c r="I251" s="239"/>
      <c r="J251" s="434"/>
      <c r="K251" s="434"/>
      <c r="L251" s="438"/>
      <c r="M251" s="434"/>
      <c r="N251" s="434"/>
      <c r="O251" s="435"/>
      <c r="P251" s="238"/>
      <c r="Q251" s="436"/>
      <c r="R251" s="432"/>
      <c r="S251" s="511"/>
      <c r="T251" s="318"/>
      <c r="U251" s="60"/>
    </row>
    <row r="252" spans="1:21" s="60" customFormat="1" ht="53.25" customHeight="1" x14ac:dyDescent="0.25">
      <c r="A252" s="506"/>
      <c r="B252" s="509"/>
      <c r="C252" s="128"/>
      <c r="D252" s="466" t="s">
        <v>644</v>
      </c>
      <c r="E252" s="20"/>
      <c r="F252" s="127"/>
      <c r="G252" s="306"/>
      <c r="H252" s="303"/>
      <c r="I252" s="86">
        <f>(H250+H251)/2</f>
        <v>100</v>
      </c>
      <c r="J252" s="20"/>
      <c r="K252" s="466" t="s">
        <v>644</v>
      </c>
      <c r="L252" s="20"/>
      <c r="M252" s="124"/>
      <c r="N252" s="124"/>
      <c r="O252" s="303"/>
      <c r="P252" s="18">
        <f>O250</f>
        <v>103.33659235186383</v>
      </c>
      <c r="Q252" s="18">
        <f>(I252+P252)/2</f>
        <v>101.66829617593191</v>
      </c>
      <c r="R252" s="447" t="s">
        <v>25</v>
      </c>
      <c r="S252" s="512"/>
      <c r="T252" s="318"/>
      <c r="U252" s="315"/>
    </row>
    <row r="253" spans="1:21" s="243" customFormat="1" ht="96" customHeight="1" x14ac:dyDescent="0.25">
      <c r="A253" s="506"/>
      <c r="B253" s="509"/>
      <c r="C253" s="432" t="s">
        <v>144</v>
      </c>
      <c r="D253" s="34" t="s">
        <v>521</v>
      </c>
      <c r="E253" s="434"/>
      <c r="F253" s="249"/>
      <c r="G253" s="240"/>
      <c r="H253" s="237"/>
      <c r="I253" s="246"/>
      <c r="J253" s="432" t="str">
        <f>C253</f>
        <v>VII</v>
      </c>
      <c r="K253" s="34" t="str">
        <f>D253</f>
        <v>Реализация дополнительных общеобразовательных предпрофессиональных программ в области искусств - дизайн</v>
      </c>
      <c r="L253" s="434"/>
      <c r="M253" s="245"/>
      <c r="N253" s="245"/>
      <c r="O253" s="237"/>
      <c r="P253" s="244"/>
      <c r="Q253" s="436"/>
      <c r="R253" s="432"/>
      <c r="S253" s="511"/>
      <c r="T253" s="318"/>
      <c r="U253" s="316"/>
    </row>
    <row r="254" spans="1:21" ht="122.25" customHeight="1" x14ac:dyDescent="0.25">
      <c r="A254" s="506"/>
      <c r="B254" s="509"/>
      <c r="C254" s="434" t="s">
        <v>146</v>
      </c>
      <c r="D254" s="440" t="s">
        <v>510</v>
      </c>
      <c r="E254" s="434" t="s">
        <v>18</v>
      </c>
      <c r="F254" s="249" t="s">
        <v>509</v>
      </c>
      <c r="G254" s="435">
        <v>88.3</v>
      </c>
      <c r="H254" s="435">
        <v>100</v>
      </c>
      <c r="I254" s="239"/>
      <c r="J254" s="434" t="str">
        <f>C254</f>
        <v>7.1.</v>
      </c>
      <c r="K254" s="434" t="s">
        <v>508</v>
      </c>
      <c r="L254" s="434" t="s">
        <v>507</v>
      </c>
      <c r="M254" s="248">
        <v>12410</v>
      </c>
      <c r="N254" s="248">
        <v>12586</v>
      </c>
      <c r="O254" s="435">
        <f>IF(N254/M254*100&gt;110,110,N254/M254*100)</f>
        <v>101.41821112006446</v>
      </c>
      <c r="P254" s="238"/>
      <c r="Q254" s="436"/>
      <c r="R254" s="432"/>
      <c r="S254" s="511"/>
      <c r="T254" s="318"/>
      <c r="U254" s="60"/>
    </row>
    <row r="255" spans="1:21" ht="49.5" customHeight="1" x14ac:dyDescent="0.25">
      <c r="A255" s="506"/>
      <c r="B255" s="509"/>
      <c r="C255" s="434" t="s">
        <v>433</v>
      </c>
      <c r="D255" s="440" t="s">
        <v>502</v>
      </c>
      <c r="E255" s="434" t="s">
        <v>18</v>
      </c>
      <c r="F255" s="249" t="s">
        <v>513</v>
      </c>
      <c r="G255" s="439">
        <v>0</v>
      </c>
      <c r="H255" s="439">
        <v>100</v>
      </c>
      <c r="I255" s="239"/>
      <c r="J255" s="434"/>
      <c r="K255" s="434"/>
      <c r="L255" s="438"/>
      <c r="M255" s="434"/>
      <c r="N255" s="434"/>
      <c r="O255" s="435"/>
      <c r="P255" s="238"/>
      <c r="Q255" s="436"/>
      <c r="R255" s="432"/>
      <c r="S255" s="511"/>
      <c r="T255" s="318"/>
      <c r="U255" s="60"/>
    </row>
    <row r="256" spans="1:21" s="60" customFormat="1" ht="53.25" customHeight="1" x14ac:dyDescent="0.25">
      <c r="A256" s="506"/>
      <c r="B256" s="509"/>
      <c r="C256" s="128"/>
      <c r="D256" s="466" t="s">
        <v>644</v>
      </c>
      <c r="E256" s="20"/>
      <c r="F256" s="127"/>
      <c r="G256" s="306"/>
      <c r="H256" s="303"/>
      <c r="I256" s="86">
        <f>(H254+H255)/2</f>
        <v>100</v>
      </c>
      <c r="J256" s="20"/>
      <c r="K256" s="466" t="s">
        <v>644</v>
      </c>
      <c r="L256" s="20"/>
      <c r="M256" s="124"/>
      <c r="N256" s="124"/>
      <c r="O256" s="303"/>
      <c r="P256" s="18">
        <f>O254</f>
        <v>101.41821112006446</v>
      </c>
      <c r="Q256" s="18">
        <f>(I256+P256)/2</f>
        <v>100.70910556003223</v>
      </c>
      <c r="R256" s="447" t="s">
        <v>25</v>
      </c>
      <c r="S256" s="512"/>
      <c r="T256" s="318"/>
      <c r="U256" s="315"/>
    </row>
    <row r="257" spans="1:21" s="243" customFormat="1" ht="98.25" customHeight="1" x14ac:dyDescent="0.25">
      <c r="A257" s="506"/>
      <c r="B257" s="509"/>
      <c r="C257" s="432" t="s">
        <v>147</v>
      </c>
      <c r="D257" s="34" t="s">
        <v>520</v>
      </c>
      <c r="E257" s="434"/>
      <c r="F257" s="249"/>
      <c r="G257" s="240"/>
      <c r="H257" s="237"/>
      <c r="I257" s="246"/>
      <c r="J257" s="432" t="str">
        <f>C257</f>
        <v>VIII</v>
      </c>
      <c r="K257" s="34" t="str">
        <f>D257</f>
        <v>Реализация дополнительных общеобразовательных предпрофессиональных программ в области искусств - искусство театра</v>
      </c>
      <c r="L257" s="434"/>
      <c r="M257" s="245"/>
      <c r="N257" s="245"/>
      <c r="O257" s="237"/>
      <c r="P257" s="244"/>
      <c r="Q257" s="436"/>
      <c r="R257" s="432"/>
      <c r="S257" s="511"/>
      <c r="T257" s="318"/>
      <c r="U257" s="316"/>
    </row>
    <row r="258" spans="1:21" ht="118.5" customHeight="1" x14ac:dyDescent="0.25">
      <c r="A258" s="506"/>
      <c r="B258" s="509"/>
      <c r="C258" s="434" t="s">
        <v>149</v>
      </c>
      <c r="D258" s="440" t="s">
        <v>510</v>
      </c>
      <c r="E258" s="434" t="s">
        <v>18</v>
      </c>
      <c r="F258" s="249" t="s">
        <v>509</v>
      </c>
      <c r="G258" s="435">
        <v>88.3</v>
      </c>
      <c r="H258" s="435">
        <v>100</v>
      </c>
      <c r="I258" s="239"/>
      <c r="J258" s="434" t="str">
        <f>C258</f>
        <v>8.1.</v>
      </c>
      <c r="K258" s="440" t="s">
        <v>503</v>
      </c>
      <c r="L258" s="434" t="s">
        <v>507</v>
      </c>
      <c r="M258" s="248">
        <v>20698</v>
      </c>
      <c r="N258" s="248">
        <v>20047</v>
      </c>
      <c r="O258" s="435">
        <f>IF(N258/M258*100&gt;110,110,N258/M258*100)</f>
        <v>96.854768576674076</v>
      </c>
      <c r="P258" s="238"/>
      <c r="Q258" s="436"/>
      <c r="R258" s="432"/>
      <c r="S258" s="511"/>
      <c r="T258" s="318"/>
      <c r="U258" s="60"/>
    </row>
    <row r="259" spans="1:21" ht="62.25" customHeight="1" x14ac:dyDescent="0.25">
      <c r="A259" s="506"/>
      <c r="B259" s="509"/>
      <c r="C259" s="434" t="s">
        <v>429</v>
      </c>
      <c r="D259" s="440" t="s">
        <v>502</v>
      </c>
      <c r="E259" s="434" t="s">
        <v>18</v>
      </c>
      <c r="F259" s="249" t="s">
        <v>513</v>
      </c>
      <c r="G259" s="439">
        <v>0</v>
      </c>
      <c r="H259" s="439">
        <v>100</v>
      </c>
      <c r="I259" s="239"/>
      <c r="J259" s="434" t="str">
        <f>C259</f>
        <v>8.2.</v>
      </c>
      <c r="K259" s="440"/>
      <c r="L259" s="438"/>
      <c r="M259" s="434"/>
      <c r="N259" s="434"/>
      <c r="O259" s="435"/>
      <c r="P259" s="238"/>
      <c r="Q259" s="436"/>
      <c r="R259" s="432"/>
      <c r="S259" s="511"/>
      <c r="T259" s="318"/>
      <c r="U259" s="60"/>
    </row>
    <row r="260" spans="1:21" s="60" customFormat="1" ht="53.25" customHeight="1" x14ac:dyDescent="0.25">
      <c r="A260" s="506"/>
      <c r="B260" s="509"/>
      <c r="C260" s="128"/>
      <c r="D260" s="466" t="s">
        <v>644</v>
      </c>
      <c r="E260" s="20"/>
      <c r="F260" s="127"/>
      <c r="G260" s="306"/>
      <c r="H260" s="303"/>
      <c r="I260" s="86">
        <f>(H258+H259)/2</f>
        <v>100</v>
      </c>
      <c r="J260" s="20"/>
      <c r="K260" s="466" t="s">
        <v>644</v>
      </c>
      <c r="L260" s="20"/>
      <c r="M260" s="124"/>
      <c r="N260" s="124"/>
      <c r="O260" s="303"/>
      <c r="P260" s="18">
        <f>O258</f>
        <v>96.854768576674076</v>
      </c>
      <c r="Q260" s="18">
        <f>(I260+P260)/2</f>
        <v>98.427384288337038</v>
      </c>
      <c r="R260" s="447" t="s">
        <v>112</v>
      </c>
      <c r="S260" s="512"/>
      <c r="T260" s="318"/>
      <c r="U260" s="315"/>
    </row>
    <row r="261" spans="1:21" s="5" customFormat="1" ht="66" customHeight="1" x14ac:dyDescent="0.25">
      <c r="A261" s="506"/>
      <c r="B261" s="509"/>
      <c r="C261" s="432" t="s">
        <v>150</v>
      </c>
      <c r="D261" s="34" t="s">
        <v>514</v>
      </c>
      <c r="E261" s="434"/>
      <c r="F261" s="135"/>
      <c r="G261" s="435"/>
      <c r="H261" s="237"/>
      <c r="I261" s="436"/>
      <c r="J261" s="432" t="str">
        <f>C261</f>
        <v>IX</v>
      </c>
      <c r="K261" s="34" t="str">
        <f>D261</f>
        <v>Реализация дополнительных общеобразовательных предпрофессиональных программ - хоровое пение</v>
      </c>
      <c r="L261" s="434"/>
      <c r="M261" s="245"/>
      <c r="N261" s="245"/>
      <c r="O261" s="237"/>
      <c r="P261" s="436"/>
      <c r="Q261" s="436"/>
      <c r="R261" s="432"/>
      <c r="S261" s="511"/>
      <c r="T261" s="318"/>
      <c r="U261" s="315"/>
    </row>
    <row r="262" spans="1:21" s="5" customFormat="1" ht="123.75" customHeight="1" x14ac:dyDescent="0.25">
      <c r="A262" s="506"/>
      <c r="B262" s="509"/>
      <c r="C262" s="434" t="s">
        <v>152</v>
      </c>
      <c r="D262" s="440" t="s">
        <v>510</v>
      </c>
      <c r="E262" s="434" t="s">
        <v>18</v>
      </c>
      <c r="F262" s="249" t="s">
        <v>509</v>
      </c>
      <c r="G262" s="435">
        <v>88.3</v>
      </c>
      <c r="H262" s="435">
        <v>100</v>
      </c>
      <c r="I262" s="239"/>
      <c r="J262" s="434" t="str">
        <f>C262</f>
        <v>9.1.</v>
      </c>
      <c r="K262" s="440" t="s">
        <v>508</v>
      </c>
      <c r="L262" s="434" t="s">
        <v>507</v>
      </c>
      <c r="M262" s="248">
        <v>9272</v>
      </c>
      <c r="N262" s="248">
        <v>9338</v>
      </c>
      <c r="O262" s="435">
        <f>IF(N262/M262*100&gt;110,110,N262/M262*100)</f>
        <v>100.71182053494393</v>
      </c>
      <c r="P262" s="436"/>
      <c r="Q262" s="436"/>
      <c r="R262" s="432"/>
      <c r="S262" s="511"/>
      <c r="T262" s="318"/>
      <c r="U262" s="315"/>
    </row>
    <row r="263" spans="1:21" s="5" customFormat="1" ht="49.5" customHeight="1" x14ac:dyDescent="0.25">
      <c r="A263" s="506"/>
      <c r="B263" s="509"/>
      <c r="C263" s="434" t="s">
        <v>431</v>
      </c>
      <c r="D263" s="440" t="s">
        <v>502</v>
      </c>
      <c r="E263" s="434" t="s">
        <v>18</v>
      </c>
      <c r="F263" s="249" t="s">
        <v>513</v>
      </c>
      <c r="G263" s="439">
        <v>0</v>
      </c>
      <c r="H263" s="439">
        <v>100</v>
      </c>
      <c r="I263" s="239"/>
      <c r="J263" s="434"/>
      <c r="K263" s="440"/>
      <c r="L263" s="434"/>
      <c r="M263" s="434"/>
      <c r="N263" s="434"/>
      <c r="O263" s="435"/>
      <c r="P263" s="436"/>
      <c r="Q263" s="436"/>
      <c r="R263" s="432"/>
      <c r="S263" s="511"/>
      <c r="T263" s="318"/>
      <c r="U263" s="315"/>
    </row>
    <row r="264" spans="1:21" s="60" customFormat="1" ht="53.25" customHeight="1" x14ac:dyDescent="0.25">
      <c r="A264" s="506"/>
      <c r="B264" s="509"/>
      <c r="C264" s="128"/>
      <c r="D264" s="466" t="s">
        <v>644</v>
      </c>
      <c r="E264" s="20"/>
      <c r="F264" s="127"/>
      <c r="G264" s="306"/>
      <c r="H264" s="303"/>
      <c r="I264" s="86">
        <f>(H262+H263)/2</f>
        <v>100</v>
      </c>
      <c r="J264" s="20"/>
      <c r="K264" s="466" t="s">
        <v>644</v>
      </c>
      <c r="L264" s="20"/>
      <c r="M264" s="124"/>
      <c r="N264" s="124"/>
      <c r="O264" s="303"/>
      <c r="P264" s="18">
        <f>O262</f>
        <v>100.71182053494393</v>
      </c>
      <c r="Q264" s="18">
        <f>(I264+P264)/2</f>
        <v>100.35591026747196</v>
      </c>
      <c r="R264" s="447" t="s">
        <v>25</v>
      </c>
      <c r="S264" s="512"/>
      <c r="T264" s="318"/>
      <c r="U264" s="315"/>
    </row>
    <row r="265" spans="1:21" ht="96" customHeight="1" x14ac:dyDescent="0.25">
      <c r="A265" s="506"/>
      <c r="B265" s="509"/>
      <c r="C265" s="432" t="s">
        <v>277</v>
      </c>
      <c r="D265" s="34" t="s">
        <v>506</v>
      </c>
      <c r="E265" s="434"/>
      <c r="F265" s="249"/>
      <c r="G265" s="240"/>
      <c r="H265" s="237"/>
      <c r="I265" s="246"/>
      <c r="J265" s="432" t="str">
        <f>C265</f>
        <v>X</v>
      </c>
      <c r="K265" s="34" t="str">
        <f>D265</f>
        <v>Реализация дополнительных общеобразовательных общеразвивающих программ</v>
      </c>
      <c r="L265" s="434"/>
      <c r="M265" s="245"/>
      <c r="N265" s="245"/>
      <c r="O265" s="237"/>
      <c r="P265" s="244"/>
      <c r="Q265" s="436"/>
      <c r="R265" s="432"/>
      <c r="S265" s="511"/>
      <c r="T265" s="318"/>
      <c r="U265" s="60"/>
    </row>
    <row r="266" spans="1:21" ht="100.5" customHeight="1" x14ac:dyDescent="0.25">
      <c r="A266" s="506"/>
      <c r="B266" s="509"/>
      <c r="C266" s="434" t="s">
        <v>278</v>
      </c>
      <c r="D266" s="440" t="s">
        <v>505</v>
      </c>
      <c r="E266" s="434" t="s">
        <v>18</v>
      </c>
      <c r="F266" s="249" t="s">
        <v>504</v>
      </c>
      <c r="G266" s="435">
        <v>11.7</v>
      </c>
      <c r="H266" s="435">
        <v>100</v>
      </c>
      <c r="I266" s="239"/>
      <c r="J266" s="434" t="str">
        <f>C266</f>
        <v>10.1.</v>
      </c>
      <c r="K266" s="440" t="s">
        <v>508</v>
      </c>
      <c r="L266" s="434" t="s">
        <v>414</v>
      </c>
      <c r="M266" s="248">
        <v>15386</v>
      </c>
      <c r="N266" s="248">
        <v>14998</v>
      </c>
      <c r="O266" s="435">
        <f>IF(N266/M266*100&gt;110,110,N266/M266*100)</f>
        <v>97.478226959573647</v>
      </c>
      <c r="P266" s="238"/>
      <c r="Q266" s="436"/>
      <c r="R266" s="432"/>
      <c r="S266" s="511"/>
      <c r="T266" s="318"/>
      <c r="U266" s="60"/>
    </row>
    <row r="267" spans="1:21" ht="62.25" customHeight="1" x14ac:dyDescent="0.25">
      <c r="A267" s="506"/>
      <c r="B267" s="509"/>
      <c r="C267" s="434" t="s">
        <v>444</v>
      </c>
      <c r="D267" s="440" t="s">
        <v>502</v>
      </c>
      <c r="E267" s="434" t="s">
        <v>18</v>
      </c>
      <c r="F267" s="249" t="s">
        <v>513</v>
      </c>
      <c r="G267" s="439">
        <v>0</v>
      </c>
      <c r="H267" s="439">
        <v>100</v>
      </c>
      <c r="I267" s="239"/>
      <c r="J267" s="434"/>
      <c r="K267" s="440"/>
      <c r="L267" s="434"/>
      <c r="M267" s="434"/>
      <c r="N267" s="434"/>
      <c r="O267" s="435"/>
      <c r="P267" s="238"/>
      <c r="Q267" s="436"/>
      <c r="R267" s="432"/>
      <c r="S267" s="511"/>
      <c r="T267" s="318"/>
      <c r="U267" s="60"/>
    </row>
    <row r="268" spans="1:21" ht="62.25" customHeight="1" x14ac:dyDescent="0.25">
      <c r="A268" s="506"/>
      <c r="B268" s="509"/>
      <c r="C268" s="434" t="s">
        <v>519</v>
      </c>
      <c r="D268" s="440" t="s">
        <v>499</v>
      </c>
      <c r="E268" s="434" t="s">
        <v>20</v>
      </c>
      <c r="F268" s="251">
        <v>76</v>
      </c>
      <c r="G268" s="240">
        <v>80</v>
      </c>
      <c r="H268" s="435">
        <f>IF(G268/F268*100&gt;100,100,G268/F268*100)</f>
        <v>100</v>
      </c>
      <c r="I268" s="239"/>
      <c r="J268" s="434"/>
      <c r="K268" s="440"/>
      <c r="L268" s="434"/>
      <c r="M268" s="434"/>
      <c r="N268" s="434"/>
      <c r="O268" s="435"/>
      <c r="P268" s="238"/>
      <c r="Q268" s="436"/>
      <c r="R268" s="432"/>
      <c r="S268" s="511"/>
      <c r="T268" s="318"/>
      <c r="U268" s="60"/>
    </row>
    <row r="269" spans="1:21" s="60" customFormat="1" ht="53.25" customHeight="1" x14ac:dyDescent="0.25">
      <c r="A269" s="507"/>
      <c r="B269" s="510"/>
      <c r="C269" s="250"/>
      <c r="D269" s="466" t="s">
        <v>644</v>
      </c>
      <c r="E269" s="250"/>
      <c r="F269" s="18"/>
      <c r="G269" s="303"/>
      <c r="H269" s="303"/>
      <c r="I269" s="86">
        <f>(H266+H267+H268)/3</f>
        <v>100</v>
      </c>
      <c r="J269" s="250"/>
      <c r="K269" s="466" t="s">
        <v>644</v>
      </c>
      <c r="L269" s="250"/>
      <c r="M269" s="312"/>
      <c r="N269" s="312"/>
      <c r="O269" s="313"/>
      <c r="P269" s="314">
        <f>O266</f>
        <v>97.478226959573647</v>
      </c>
      <c r="Q269" s="314">
        <f>(I269+P269)/2</f>
        <v>98.739113479786823</v>
      </c>
      <c r="R269" s="447" t="s">
        <v>112</v>
      </c>
      <c r="S269" s="512"/>
      <c r="T269" s="318"/>
    </row>
    <row r="270" spans="1:21" s="243" customFormat="1" ht="103.5" customHeight="1" x14ac:dyDescent="0.25">
      <c r="A270" s="513" t="s">
        <v>387</v>
      </c>
      <c r="B270" s="514" t="s">
        <v>518</v>
      </c>
      <c r="C270" s="454" t="s">
        <v>13</v>
      </c>
      <c r="D270" s="34" t="s">
        <v>517</v>
      </c>
      <c r="E270" s="458"/>
      <c r="F270" s="240"/>
      <c r="G270" s="240"/>
      <c r="H270" s="237"/>
      <c r="I270" s="246"/>
      <c r="J270" s="456" t="str">
        <f>C270</f>
        <v>I</v>
      </c>
      <c r="K270" s="34" t="str">
        <f>D270</f>
        <v>Реализация дополнительных общеобразовательных предпрофессиональных программ в области искусств - хореографическое творчество</v>
      </c>
      <c r="L270" s="458"/>
      <c r="M270" s="245"/>
      <c r="N270" s="245"/>
      <c r="O270" s="237"/>
      <c r="P270" s="244"/>
      <c r="Q270" s="460"/>
      <c r="R270" s="456"/>
      <c r="S270" s="515" t="s">
        <v>104</v>
      </c>
      <c r="T270" s="318"/>
      <c r="U270" s="316"/>
    </row>
    <row r="271" spans="1:21" ht="119.25" customHeight="1" x14ac:dyDescent="0.25">
      <c r="A271" s="513"/>
      <c r="B271" s="514"/>
      <c r="C271" s="19" t="s">
        <v>16</v>
      </c>
      <c r="D271" s="462" t="s">
        <v>510</v>
      </c>
      <c r="E271" s="458" t="s">
        <v>18</v>
      </c>
      <c r="F271" s="463" t="s">
        <v>509</v>
      </c>
      <c r="G271" s="459">
        <v>51</v>
      </c>
      <c r="H271" s="459">
        <v>100</v>
      </c>
      <c r="I271" s="239"/>
      <c r="J271" s="458" t="str">
        <f>C271</f>
        <v>1.1.</v>
      </c>
      <c r="K271" s="462" t="s">
        <v>508</v>
      </c>
      <c r="L271" s="458" t="s">
        <v>507</v>
      </c>
      <c r="M271" s="248">
        <v>29533</v>
      </c>
      <c r="N271" s="248">
        <v>29533</v>
      </c>
      <c r="O271" s="459">
        <f>IF(N271/M271*100&gt;110,110,N271/M271*100)</f>
        <v>100</v>
      </c>
      <c r="P271" s="238"/>
      <c r="Q271" s="460"/>
      <c r="R271" s="456"/>
      <c r="S271" s="515"/>
      <c r="T271" s="318"/>
      <c r="U271" s="60"/>
    </row>
    <row r="272" spans="1:21" ht="64.5" customHeight="1" x14ac:dyDescent="0.25">
      <c r="A272" s="513"/>
      <c r="B272" s="514"/>
      <c r="C272" s="19" t="s">
        <v>21</v>
      </c>
      <c r="D272" s="462" t="s">
        <v>502</v>
      </c>
      <c r="E272" s="458" t="s">
        <v>18</v>
      </c>
      <c r="F272" s="463" t="s">
        <v>501</v>
      </c>
      <c r="G272" s="461">
        <v>0</v>
      </c>
      <c r="H272" s="461">
        <v>100</v>
      </c>
      <c r="I272" s="239"/>
      <c r="J272" s="458"/>
      <c r="K272" s="458"/>
      <c r="L272" s="458"/>
      <c r="M272" s="458"/>
      <c r="N272" s="458"/>
      <c r="O272" s="459"/>
      <c r="P272" s="238"/>
      <c r="Q272" s="460"/>
      <c r="R272" s="456"/>
      <c r="S272" s="515"/>
      <c r="T272" s="318"/>
      <c r="U272" s="60"/>
    </row>
    <row r="273" spans="1:21" s="60" customFormat="1" ht="53.25" customHeight="1" x14ac:dyDescent="0.25">
      <c r="A273" s="513"/>
      <c r="B273" s="514"/>
      <c r="C273" s="128"/>
      <c r="D273" s="466" t="s">
        <v>644</v>
      </c>
      <c r="E273" s="20"/>
      <c r="F273" s="305"/>
      <c r="G273" s="306"/>
      <c r="H273" s="303"/>
      <c r="I273" s="86">
        <f>(H271+H272)/2</f>
        <v>100</v>
      </c>
      <c r="J273" s="20"/>
      <c r="K273" s="466" t="s">
        <v>644</v>
      </c>
      <c r="L273" s="20"/>
      <c r="M273" s="124"/>
      <c r="N273" s="124"/>
      <c r="O273" s="303"/>
      <c r="P273" s="18">
        <f>O271</f>
        <v>100</v>
      </c>
      <c r="Q273" s="18">
        <f>(I273+P273)/2</f>
        <v>100</v>
      </c>
      <c r="R273" s="465" t="s">
        <v>25</v>
      </c>
      <c r="S273" s="515"/>
      <c r="T273" s="318"/>
      <c r="U273" s="315"/>
    </row>
    <row r="274" spans="1:21" s="243" customFormat="1" ht="90" customHeight="1" x14ac:dyDescent="0.25">
      <c r="A274" s="513"/>
      <c r="B274" s="514"/>
      <c r="C274" s="454" t="s">
        <v>26</v>
      </c>
      <c r="D274" s="34" t="s">
        <v>516</v>
      </c>
      <c r="E274" s="458"/>
      <c r="F274" s="249"/>
      <c r="G274" s="240"/>
      <c r="H274" s="237"/>
      <c r="I274" s="246"/>
      <c r="J274" s="456" t="str">
        <f>C274</f>
        <v>II</v>
      </c>
      <c r="K274" s="34" t="str">
        <f>D274</f>
        <v>Реализация дополнительных общеобразовательных предпрофессиональных программ в области искусств - фортепиано</v>
      </c>
      <c r="L274" s="458"/>
      <c r="M274" s="245"/>
      <c r="N274" s="245"/>
      <c r="O274" s="237"/>
      <c r="P274" s="244"/>
      <c r="Q274" s="460"/>
      <c r="R274" s="456"/>
      <c r="S274" s="515"/>
      <c r="T274" s="318"/>
      <c r="U274" s="316"/>
    </row>
    <row r="275" spans="1:21" ht="115.5" customHeight="1" x14ac:dyDescent="0.25">
      <c r="A275" s="513"/>
      <c r="B275" s="514"/>
      <c r="C275" s="19" t="s">
        <v>28</v>
      </c>
      <c r="D275" s="462" t="s">
        <v>510</v>
      </c>
      <c r="E275" s="458" t="s">
        <v>18</v>
      </c>
      <c r="F275" s="249" t="s">
        <v>509</v>
      </c>
      <c r="G275" s="459">
        <v>51</v>
      </c>
      <c r="H275" s="459">
        <v>100</v>
      </c>
      <c r="I275" s="239"/>
      <c r="J275" s="458" t="str">
        <f>C275</f>
        <v>2.1.</v>
      </c>
      <c r="K275" s="462" t="s">
        <v>508</v>
      </c>
      <c r="L275" s="458" t="s">
        <v>507</v>
      </c>
      <c r="M275" s="248">
        <v>2586</v>
      </c>
      <c r="N275" s="248">
        <v>2586</v>
      </c>
      <c r="O275" s="459">
        <f>IF(N275/M275*100&gt;110,110,N275/M275*100)</f>
        <v>100</v>
      </c>
      <c r="P275" s="238"/>
      <c r="Q275" s="460"/>
      <c r="R275" s="456"/>
      <c r="S275" s="515"/>
      <c r="T275" s="318"/>
      <c r="U275" s="60"/>
    </row>
    <row r="276" spans="1:21" ht="49.5" customHeight="1" x14ac:dyDescent="0.25">
      <c r="A276" s="513"/>
      <c r="B276" s="514"/>
      <c r="C276" s="19" t="s">
        <v>30</v>
      </c>
      <c r="D276" s="462" t="s">
        <v>502</v>
      </c>
      <c r="E276" s="458" t="s">
        <v>18</v>
      </c>
      <c r="F276" s="249" t="s">
        <v>513</v>
      </c>
      <c r="G276" s="247">
        <v>0</v>
      </c>
      <c r="H276" s="459">
        <v>100</v>
      </c>
      <c r="I276" s="239"/>
      <c r="J276" s="458"/>
      <c r="K276" s="458"/>
      <c r="L276" s="458"/>
      <c r="M276" s="458"/>
      <c r="N276" s="458"/>
      <c r="O276" s="459"/>
      <c r="P276" s="238"/>
      <c r="Q276" s="460"/>
      <c r="R276" s="456"/>
      <c r="S276" s="515"/>
      <c r="T276" s="318"/>
      <c r="U276" s="60"/>
    </row>
    <row r="277" spans="1:21" s="60" customFormat="1" ht="53.25" customHeight="1" x14ac:dyDescent="0.25">
      <c r="A277" s="513"/>
      <c r="B277" s="514"/>
      <c r="C277" s="128"/>
      <c r="D277" s="466" t="s">
        <v>644</v>
      </c>
      <c r="E277" s="20"/>
      <c r="F277" s="127"/>
      <c r="G277" s="306"/>
      <c r="H277" s="303"/>
      <c r="I277" s="86">
        <f>(H275+H276)/2</f>
        <v>100</v>
      </c>
      <c r="J277" s="20"/>
      <c r="K277" s="466" t="s">
        <v>644</v>
      </c>
      <c r="L277" s="20"/>
      <c r="M277" s="124"/>
      <c r="N277" s="124"/>
      <c r="O277" s="303"/>
      <c r="P277" s="18">
        <f>O275</f>
        <v>100</v>
      </c>
      <c r="Q277" s="18">
        <f>(I277+P277)/2</f>
        <v>100</v>
      </c>
      <c r="R277" s="465" t="s">
        <v>25</v>
      </c>
      <c r="S277" s="515"/>
      <c r="T277" s="318"/>
      <c r="U277" s="315"/>
    </row>
    <row r="278" spans="1:21" s="243" customFormat="1" ht="82.5" customHeight="1" x14ac:dyDescent="0.25">
      <c r="A278" s="513"/>
      <c r="B278" s="514"/>
      <c r="C278" s="456" t="s">
        <v>36</v>
      </c>
      <c r="D278" s="34" t="s">
        <v>515</v>
      </c>
      <c r="E278" s="458"/>
      <c r="F278" s="249"/>
      <c r="G278" s="240"/>
      <c r="H278" s="237"/>
      <c r="I278" s="246"/>
      <c r="J278" s="456" t="str">
        <f>C278</f>
        <v>III</v>
      </c>
      <c r="K278" s="34" t="str">
        <f>D278</f>
        <v>Реализация дополнительных общеобразовательных предпрофессиональных программ в области искусств - народные инструменты</v>
      </c>
      <c r="L278" s="458"/>
      <c r="M278" s="245"/>
      <c r="N278" s="245"/>
      <c r="O278" s="237"/>
      <c r="P278" s="244"/>
      <c r="Q278" s="460"/>
      <c r="R278" s="456"/>
      <c r="S278" s="515"/>
      <c r="T278" s="318"/>
      <c r="U278" s="316"/>
    </row>
    <row r="279" spans="1:21" ht="115.5" customHeight="1" x14ac:dyDescent="0.25">
      <c r="A279" s="513"/>
      <c r="B279" s="514"/>
      <c r="C279" s="458" t="s">
        <v>38</v>
      </c>
      <c r="D279" s="462" t="s">
        <v>510</v>
      </c>
      <c r="E279" s="458" t="s">
        <v>18</v>
      </c>
      <c r="F279" s="249" t="s">
        <v>509</v>
      </c>
      <c r="G279" s="459">
        <v>51</v>
      </c>
      <c r="H279" s="459">
        <v>100</v>
      </c>
      <c r="I279" s="239"/>
      <c r="J279" s="458" t="str">
        <f>C279</f>
        <v>3.1.</v>
      </c>
      <c r="K279" s="462" t="s">
        <v>508</v>
      </c>
      <c r="L279" s="458" t="s">
        <v>507</v>
      </c>
      <c r="M279" s="248">
        <v>5446</v>
      </c>
      <c r="N279" s="248">
        <v>5446</v>
      </c>
      <c r="O279" s="459">
        <f>IF(N279/M279*100&gt;110,110,N279/M279*100)</f>
        <v>100</v>
      </c>
      <c r="P279" s="238"/>
      <c r="Q279" s="460"/>
      <c r="R279" s="456"/>
      <c r="S279" s="515"/>
      <c r="T279" s="318"/>
      <c r="U279" s="60"/>
    </row>
    <row r="280" spans="1:21" ht="49.5" customHeight="1" x14ac:dyDescent="0.25">
      <c r="A280" s="513"/>
      <c r="B280" s="514"/>
      <c r="C280" s="458" t="s">
        <v>118</v>
      </c>
      <c r="D280" s="462" t="s">
        <v>502</v>
      </c>
      <c r="E280" s="458" t="s">
        <v>18</v>
      </c>
      <c r="F280" s="249" t="s">
        <v>513</v>
      </c>
      <c r="G280" s="247">
        <v>0</v>
      </c>
      <c r="H280" s="459">
        <v>100</v>
      </c>
      <c r="I280" s="239"/>
      <c r="J280" s="458"/>
      <c r="K280" s="458"/>
      <c r="L280" s="458"/>
      <c r="M280" s="458"/>
      <c r="N280" s="458"/>
      <c r="O280" s="459"/>
      <c r="P280" s="238"/>
      <c r="Q280" s="460"/>
      <c r="R280" s="456"/>
      <c r="S280" s="515"/>
      <c r="T280" s="318"/>
      <c r="U280" s="60"/>
    </row>
    <row r="281" spans="1:21" s="60" customFormat="1" ht="53.25" customHeight="1" x14ac:dyDescent="0.25">
      <c r="A281" s="513"/>
      <c r="B281" s="514"/>
      <c r="C281" s="128"/>
      <c r="D281" s="466" t="s">
        <v>644</v>
      </c>
      <c r="E281" s="20"/>
      <c r="F281" s="127"/>
      <c r="G281" s="306"/>
      <c r="H281" s="303"/>
      <c r="I281" s="86">
        <f>(H279+H280)/2</f>
        <v>100</v>
      </c>
      <c r="J281" s="20"/>
      <c r="K281" s="466" t="s">
        <v>644</v>
      </c>
      <c r="L281" s="20"/>
      <c r="M281" s="124"/>
      <c r="N281" s="124"/>
      <c r="O281" s="303"/>
      <c r="P281" s="18">
        <f>O279</f>
        <v>100</v>
      </c>
      <c r="Q281" s="18">
        <f>(I281+P281)/2</f>
        <v>100</v>
      </c>
      <c r="R281" s="465" t="s">
        <v>25</v>
      </c>
      <c r="S281" s="515"/>
      <c r="T281" s="318"/>
      <c r="U281" s="315"/>
    </row>
    <row r="282" spans="1:21" s="5" customFormat="1" ht="66" customHeight="1" x14ac:dyDescent="0.25">
      <c r="A282" s="513"/>
      <c r="B282" s="514"/>
      <c r="C282" s="456" t="s">
        <v>123</v>
      </c>
      <c r="D282" s="34" t="s">
        <v>514</v>
      </c>
      <c r="E282" s="458"/>
      <c r="F282" s="135"/>
      <c r="G282" s="459"/>
      <c r="H282" s="237"/>
      <c r="I282" s="460"/>
      <c r="J282" s="456" t="str">
        <f>C282</f>
        <v>IV</v>
      </c>
      <c r="K282" s="34" t="str">
        <f>D282</f>
        <v>Реализация дополнительных общеобразовательных предпрофессиональных программ - хоровое пение</v>
      </c>
      <c r="L282" s="458"/>
      <c r="M282" s="245"/>
      <c r="N282" s="245"/>
      <c r="O282" s="237"/>
      <c r="P282" s="460"/>
      <c r="Q282" s="460"/>
      <c r="R282" s="456"/>
      <c r="S282" s="515"/>
      <c r="T282" s="318"/>
      <c r="U282" s="315"/>
    </row>
    <row r="283" spans="1:21" s="5" customFormat="1" ht="115.5" customHeight="1" x14ac:dyDescent="0.25">
      <c r="A283" s="513"/>
      <c r="B283" s="514"/>
      <c r="C283" s="458" t="s">
        <v>124</v>
      </c>
      <c r="D283" s="462" t="s">
        <v>510</v>
      </c>
      <c r="E283" s="458" t="s">
        <v>18</v>
      </c>
      <c r="F283" s="249" t="s">
        <v>509</v>
      </c>
      <c r="G283" s="459">
        <v>51</v>
      </c>
      <c r="H283" s="459">
        <v>100</v>
      </c>
      <c r="I283" s="239"/>
      <c r="J283" s="458" t="str">
        <f>C283</f>
        <v>4.1.</v>
      </c>
      <c r="K283" s="462" t="s">
        <v>508</v>
      </c>
      <c r="L283" s="458" t="s">
        <v>507</v>
      </c>
      <c r="M283" s="248">
        <v>6423</v>
      </c>
      <c r="N283" s="248">
        <v>6423</v>
      </c>
      <c r="O283" s="459">
        <f>IF(N283/M283*100&gt;110,110,N283/M283*100)</f>
        <v>100</v>
      </c>
      <c r="P283" s="460"/>
      <c r="Q283" s="460"/>
      <c r="R283" s="456"/>
      <c r="S283" s="515"/>
      <c r="T283" s="318"/>
      <c r="U283" s="315"/>
    </row>
    <row r="284" spans="1:21" s="5" customFormat="1" ht="49.5" customHeight="1" x14ac:dyDescent="0.25">
      <c r="A284" s="513"/>
      <c r="B284" s="514"/>
      <c r="C284" s="458" t="s">
        <v>127</v>
      </c>
      <c r="D284" s="462" t="s">
        <v>502</v>
      </c>
      <c r="E284" s="458" t="s">
        <v>18</v>
      </c>
      <c r="F284" s="249" t="s">
        <v>513</v>
      </c>
      <c r="G284" s="461">
        <v>0</v>
      </c>
      <c r="H284" s="461">
        <v>100</v>
      </c>
      <c r="I284" s="239"/>
      <c r="J284" s="458"/>
      <c r="K284" s="462"/>
      <c r="L284" s="458"/>
      <c r="M284" s="458"/>
      <c r="N284" s="458"/>
      <c r="O284" s="459"/>
      <c r="P284" s="460"/>
      <c r="Q284" s="460"/>
      <c r="R284" s="456"/>
      <c r="S284" s="515"/>
      <c r="T284" s="318"/>
      <c r="U284" s="315"/>
    </row>
    <row r="285" spans="1:21" s="60" customFormat="1" ht="53.25" customHeight="1" x14ac:dyDescent="0.25">
      <c r="A285" s="513"/>
      <c r="B285" s="514"/>
      <c r="C285" s="128"/>
      <c r="D285" s="466" t="s">
        <v>644</v>
      </c>
      <c r="E285" s="20"/>
      <c r="F285" s="127"/>
      <c r="G285" s="306"/>
      <c r="H285" s="303"/>
      <c r="I285" s="86">
        <f>(H283+H284)/2</f>
        <v>100</v>
      </c>
      <c r="J285" s="20"/>
      <c r="K285" s="466" t="s">
        <v>644</v>
      </c>
      <c r="L285" s="20"/>
      <c r="M285" s="124"/>
      <c r="N285" s="124"/>
      <c r="O285" s="303"/>
      <c r="P285" s="18">
        <f>O283</f>
        <v>100</v>
      </c>
      <c r="Q285" s="18">
        <f>(I285+P285)/2</f>
        <v>100</v>
      </c>
      <c r="R285" s="465" t="s">
        <v>25</v>
      </c>
      <c r="S285" s="515"/>
      <c r="T285" s="318"/>
      <c r="U285" s="315"/>
    </row>
    <row r="286" spans="1:21" s="243" customFormat="1" ht="96" customHeight="1" x14ac:dyDescent="0.25">
      <c r="A286" s="513"/>
      <c r="B286" s="514"/>
      <c r="C286" s="456" t="s">
        <v>129</v>
      </c>
      <c r="D286" s="34" t="s">
        <v>512</v>
      </c>
      <c r="E286" s="458"/>
      <c r="F286" s="249"/>
      <c r="G286" s="240"/>
      <c r="H286" s="237"/>
      <c r="I286" s="246"/>
      <c r="J286" s="456" t="str">
        <f>C286</f>
        <v>V</v>
      </c>
      <c r="K286" s="34" t="str">
        <f>D286</f>
        <v>Реализация дополнительных общеобразовательных предпрофессиональных программ в области искусств - живопись</v>
      </c>
      <c r="L286" s="458"/>
      <c r="M286" s="245"/>
      <c r="N286" s="245"/>
      <c r="O286" s="237"/>
      <c r="P286" s="244"/>
      <c r="Q286" s="460"/>
      <c r="R286" s="456"/>
      <c r="S286" s="515"/>
      <c r="T286" s="318"/>
      <c r="U286" s="316"/>
    </row>
    <row r="287" spans="1:21" ht="115.5" customHeight="1" x14ac:dyDescent="0.25">
      <c r="A287" s="513"/>
      <c r="B287" s="514"/>
      <c r="C287" s="458" t="s">
        <v>131</v>
      </c>
      <c r="D287" s="462" t="s">
        <v>510</v>
      </c>
      <c r="E287" s="458" t="s">
        <v>18</v>
      </c>
      <c r="F287" s="463" t="s">
        <v>509</v>
      </c>
      <c r="G287" s="459">
        <v>51</v>
      </c>
      <c r="H287" s="459">
        <v>100</v>
      </c>
      <c r="I287" s="239"/>
      <c r="J287" s="458" t="str">
        <f>C287</f>
        <v>5.1.</v>
      </c>
      <c r="K287" s="462" t="s">
        <v>508</v>
      </c>
      <c r="L287" s="458" t="s">
        <v>507</v>
      </c>
      <c r="M287" s="248">
        <v>10981</v>
      </c>
      <c r="N287" s="248">
        <v>10981</v>
      </c>
      <c r="O287" s="459">
        <f>IF(N287/M287*100&gt;110,110,N287/M287*100)</f>
        <v>100</v>
      </c>
      <c r="P287" s="238"/>
      <c r="Q287" s="460"/>
      <c r="R287" s="456"/>
      <c r="S287" s="515"/>
      <c r="T287" s="318"/>
      <c r="U287" s="60"/>
    </row>
    <row r="288" spans="1:21" ht="49.5" customHeight="1" x14ac:dyDescent="0.25">
      <c r="A288" s="513"/>
      <c r="B288" s="514"/>
      <c r="C288" s="458" t="s">
        <v>183</v>
      </c>
      <c r="D288" s="462" t="s">
        <v>502</v>
      </c>
      <c r="E288" s="458" t="s">
        <v>18</v>
      </c>
      <c r="F288" s="463">
        <v>0.5</v>
      </c>
      <c r="G288" s="247">
        <v>0</v>
      </c>
      <c r="H288" s="459">
        <v>100</v>
      </c>
      <c r="I288" s="239"/>
      <c r="J288" s="458"/>
      <c r="K288" s="458"/>
      <c r="L288" s="458"/>
      <c r="M288" s="458"/>
      <c r="N288" s="458"/>
      <c r="O288" s="459"/>
      <c r="P288" s="238"/>
      <c r="Q288" s="460"/>
      <c r="R288" s="456"/>
      <c r="S288" s="515"/>
      <c r="T288" s="318"/>
      <c r="U288" s="60"/>
    </row>
    <row r="289" spans="1:21" s="60" customFormat="1" ht="53.25" customHeight="1" x14ac:dyDescent="0.25">
      <c r="A289" s="513"/>
      <c r="B289" s="514"/>
      <c r="C289" s="128"/>
      <c r="D289" s="466" t="s">
        <v>644</v>
      </c>
      <c r="E289" s="20"/>
      <c r="F289" s="127"/>
      <c r="G289" s="306"/>
      <c r="H289" s="303"/>
      <c r="I289" s="86">
        <f>(H287+H288)/2</f>
        <v>100</v>
      </c>
      <c r="J289" s="20"/>
      <c r="K289" s="466" t="s">
        <v>644</v>
      </c>
      <c r="L289" s="20"/>
      <c r="M289" s="124"/>
      <c r="N289" s="124"/>
      <c r="O289" s="303"/>
      <c r="P289" s="18">
        <f>O287</f>
        <v>100</v>
      </c>
      <c r="Q289" s="18">
        <f>(I289+P289)/2</f>
        <v>100</v>
      </c>
      <c r="R289" s="465" t="s">
        <v>25</v>
      </c>
      <c r="S289" s="515"/>
      <c r="T289" s="318"/>
      <c r="U289" s="315"/>
    </row>
    <row r="290" spans="1:21" s="60" customFormat="1" ht="88.5" customHeight="1" x14ac:dyDescent="0.25">
      <c r="A290" s="513"/>
      <c r="B290" s="514"/>
      <c r="C290" s="454" t="s">
        <v>140</v>
      </c>
      <c r="D290" s="59" t="s">
        <v>511</v>
      </c>
      <c r="E290" s="19"/>
      <c r="F290" s="78"/>
      <c r="G290" s="321"/>
      <c r="H290" s="322"/>
      <c r="I290" s="35"/>
      <c r="J290" s="454" t="s">
        <v>140</v>
      </c>
      <c r="K290" s="59" t="s">
        <v>511</v>
      </c>
      <c r="L290" s="19"/>
      <c r="M290" s="96"/>
      <c r="N290" s="96"/>
      <c r="O290" s="322"/>
      <c r="P290" s="35"/>
      <c r="Q290" s="35"/>
      <c r="R290" s="454"/>
      <c r="S290" s="515"/>
      <c r="T290" s="318"/>
      <c r="U290" s="315"/>
    </row>
    <row r="291" spans="1:21" s="60" customFormat="1" ht="115.5" customHeight="1" x14ac:dyDescent="0.25">
      <c r="A291" s="513"/>
      <c r="B291" s="514"/>
      <c r="C291" s="19" t="s">
        <v>142</v>
      </c>
      <c r="D291" s="41" t="s">
        <v>510</v>
      </c>
      <c r="E291" s="19" t="s">
        <v>18</v>
      </c>
      <c r="F291" s="24" t="s">
        <v>509</v>
      </c>
      <c r="G291" s="321">
        <v>51</v>
      </c>
      <c r="H291" s="321">
        <v>100</v>
      </c>
      <c r="I291" s="35"/>
      <c r="J291" s="19" t="s">
        <v>142</v>
      </c>
      <c r="K291" s="41" t="s">
        <v>508</v>
      </c>
      <c r="L291" s="19" t="s">
        <v>507</v>
      </c>
      <c r="M291" s="333">
        <v>3418</v>
      </c>
      <c r="N291" s="333">
        <v>3418</v>
      </c>
      <c r="O291" s="321">
        <f>IF(N291/M291*100&gt;110,110,N291/M291*100)</f>
        <v>100</v>
      </c>
      <c r="P291" s="35"/>
      <c r="Q291" s="35"/>
      <c r="R291" s="454"/>
      <c r="S291" s="515"/>
      <c r="T291" s="318"/>
      <c r="U291" s="315"/>
    </row>
    <row r="292" spans="1:21" s="60" customFormat="1" ht="55.5" customHeight="1" x14ac:dyDescent="0.25">
      <c r="A292" s="513"/>
      <c r="B292" s="514"/>
      <c r="C292" s="19" t="s">
        <v>188</v>
      </c>
      <c r="D292" s="41" t="s">
        <v>502</v>
      </c>
      <c r="E292" s="19" t="s">
        <v>18</v>
      </c>
      <c r="F292" s="24">
        <v>0.5</v>
      </c>
      <c r="G292" s="327">
        <v>0</v>
      </c>
      <c r="H292" s="321">
        <v>100</v>
      </c>
      <c r="I292" s="35"/>
      <c r="J292" s="19"/>
      <c r="K292" s="59"/>
      <c r="L292" s="19"/>
      <c r="M292" s="96"/>
      <c r="N292" s="96"/>
      <c r="O292" s="322"/>
      <c r="P292" s="35"/>
      <c r="Q292" s="35"/>
      <c r="R292" s="454"/>
      <c r="S292" s="515"/>
      <c r="T292" s="318"/>
      <c r="U292" s="315"/>
    </row>
    <row r="293" spans="1:21" s="60" customFormat="1" ht="53.25" customHeight="1" x14ac:dyDescent="0.25">
      <c r="A293" s="513"/>
      <c r="B293" s="514"/>
      <c r="C293" s="128"/>
      <c r="D293" s="466" t="s">
        <v>644</v>
      </c>
      <c r="E293" s="20"/>
      <c r="F293" s="127"/>
      <c r="G293" s="306"/>
      <c r="H293" s="303"/>
      <c r="I293" s="86">
        <f>(H291+H292)/2</f>
        <v>100</v>
      </c>
      <c r="J293" s="20"/>
      <c r="K293" s="466" t="s">
        <v>644</v>
      </c>
      <c r="L293" s="20"/>
      <c r="M293" s="124"/>
      <c r="N293" s="124"/>
      <c r="O293" s="303"/>
      <c r="P293" s="18">
        <f>O291</f>
        <v>100</v>
      </c>
      <c r="Q293" s="18">
        <f>(I293+P293)/2</f>
        <v>100</v>
      </c>
      <c r="R293" s="465" t="s">
        <v>25</v>
      </c>
      <c r="S293" s="515"/>
      <c r="T293" s="318"/>
      <c r="U293" s="315"/>
    </row>
    <row r="294" spans="1:21" s="243" customFormat="1" ht="81" customHeight="1" x14ac:dyDescent="0.25">
      <c r="A294" s="513"/>
      <c r="B294" s="514"/>
      <c r="C294" s="456" t="s">
        <v>144</v>
      </c>
      <c r="D294" s="34" t="s">
        <v>506</v>
      </c>
      <c r="E294" s="458"/>
      <c r="F294" s="240"/>
      <c r="G294" s="240"/>
      <c r="H294" s="237"/>
      <c r="I294" s="246"/>
      <c r="J294" s="456" t="s">
        <v>144</v>
      </c>
      <c r="K294" s="34" t="str">
        <f>D294</f>
        <v>Реализация дополнительных общеобразовательных общеразвивающих программ</v>
      </c>
      <c r="L294" s="458"/>
      <c r="M294" s="245"/>
      <c r="N294" s="245"/>
      <c r="O294" s="237"/>
      <c r="P294" s="244"/>
      <c r="Q294" s="460"/>
      <c r="R294" s="456"/>
      <c r="S294" s="515"/>
      <c r="T294" s="318"/>
      <c r="U294" s="316"/>
    </row>
    <row r="295" spans="1:21" ht="120" customHeight="1" x14ac:dyDescent="0.25">
      <c r="A295" s="513"/>
      <c r="B295" s="514"/>
      <c r="C295" s="19" t="s">
        <v>146</v>
      </c>
      <c r="D295" s="462" t="s">
        <v>505</v>
      </c>
      <c r="E295" s="458" t="s">
        <v>18</v>
      </c>
      <c r="F295" s="463" t="s">
        <v>504</v>
      </c>
      <c r="G295" s="459">
        <v>49</v>
      </c>
      <c r="H295" s="459">
        <v>100</v>
      </c>
      <c r="I295" s="239"/>
      <c r="J295" s="19" t="s">
        <v>146</v>
      </c>
      <c r="K295" s="462" t="s">
        <v>503</v>
      </c>
      <c r="L295" s="458" t="s">
        <v>414</v>
      </c>
      <c r="M295" s="242">
        <v>24984</v>
      </c>
      <c r="N295" s="242">
        <v>24984</v>
      </c>
      <c r="O295" s="459">
        <f>IF(N295/M295*100&gt;110,110,N295/M295*100)</f>
        <v>100</v>
      </c>
      <c r="P295" s="238"/>
      <c r="Q295" s="460"/>
      <c r="R295" s="456"/>
      <c r="S295" s="515"/>
      <c r="T295" s="318"/>
      <c r="U295" s="60"/>
    </row>
    <row r="296" spans="1:21" ht="51" customHeight="1" x14ac:dyDescent="0.25">
      <c r="A296" s="513"/>
      <c r="B296" s="514"/>
      <c r="C296" s="19" t="s">
        <v>433</v>
      </c>
      <c r="D296" s="462" t="s">
        <v>502</v>
      </c>
      <c r="E296" s="458" t="s">
        <v>18</v>
      </c>
      <c r="F296" s="463" t="s">
        <v>501</v>
      </c>
      <c r="G296" s="461">
        <v>0</v>
      </c>
      <c r="H296" s="461">
        <v>100</v>
      </c>
      <c r="I296" s="239"/>
      <c r="J296" s="458"/>
      <c r="K296" s="462"/>
      <c r="L296" s="458"/>
      <c r="M296" s="458"/>
      <c r="N296" s="458"/>
      <c r="O296" s="459"/>
      <c r="P296" s="238"/>
      <c r="Q296" s="460"/>
      <c r="R296" s="456"/>
      <c r="S296" s="515"/>
      <c r="T296" s="318"/>
      <c r="U296" s="60"/>
    </row>
    <row r="297" spans="1:21" s="229" customFormat="1" ht="51" customHeight="1" x14ac:dyDescent="0.25">
      <c r="A297" s="513"/>
      <c r="B297" s="514"/>
      <c r="C297" s="19" t="s">
        <v>500</v>
      </c>
      <c r="D297" s="462" t="s">
        <v>499</v>
      </c>
      <c r="E297" s="458" t="s">
        <v>20</v>
      </c>
      <c r="F297" s="241">
        <v>142</v>
      </c>
      <c r="G297" s="240">
        <v>127</v>
      </c>
      <c r="H297" s="459">
        <f>IF(G297/F297*100&gt;100,100,G297/F297*100)</f>
        <v>89.436619718309856</v>
      </c>
      <c r="I297" s="239"/>
      <c r="J297" s="458"/>
      <c r="K297" s="462"/>
      <c r="L297" s="458"/>
      <c r="M297" s="458"/>
      <c r="N297" s="458"/>
      <c r="O297" s="459"/>
      <c r="P297" s="238"/>
      <c r="Q297" s="460"/>
      <c r="R297" s="456"/>
      <c r="S297" s="515"/>
      <c r="T297" s="318"/>
      <c r="U297" s="268"/>
    </row>
    <row r="298" spans="1:21" s="268" customFormat="1" ht="44.25" customHeight="1" x14ac:dyDescent="0.25">
      <c r="A298" s="513"/>
      <c r="B298" s="514"/>
      <c r="C298" s="20"/>
      <c r="D298" s="466" t="s">
        <v>644</v>
      </c>
      <c r="E298" s="20"/>
      <c r="F298" s="303"/>
      <c r="G298" s="303"/>
      <c r="H298" s="303"/>
      <c r="I298" s="86">
        <f>(H295+H296+H297)/3</f>
        <v>96.478873239436624</v>
      </c>
      <c r="J298" s="465"/>
      <c r="K298" s="466" t="s">
        <v>644</v>
      </c>
      <c r="L298" s="465"/>
      <c r="M298" s="465"/>
      <c r="N298" s="465"/>
      <c r="O298" s="303"/>
      <c r="P298" s="18">
        <f>O295</f>
        <v>100</v>
      </c>
      <c r="Q298" s="18">
        <f>(I298+P298)/2</f>
        <v>98.239436619718305</v>
      </c>
      <c r="R298" s="465" t="s">
        <v>112</v>
      </c>
      <c r="S298" s="515"/>
      <c r="T298" s="318"/>
    </row>
  </sheetData>
  <mergeCells count="118">
    <mergeCell ref="A12:A19"/>
    <mergeCell ref="B12:B19"/>
    <mergeCell ref="S12:S19"/>
    <mergeCell ref="A20:A32"/>
    <mergeCell ref="B20:B32"/>
    <mergeCell ref="S20:S32"/>
    <mergeCell ref="B2:Q2"/>
    <mergeCell ref="B3:Q3"/>
    <mergeCell ref="B4:Q4"/>
    <mergeCell ref="B5:Q5"/>
    <mergeCell ref="B6:Q6"/>
    <mergeCell ref="A8:A10"/>
    <mergeCell ref="B8:B10"/>
    <mergeCell ref="D8:R8"/>
    <mergeCell ref="D9:I9"/>
    <mergeCell ref="J9:P9"/>
    <mergeCell ref="S33:S55"/>
    <mergeCell ref="K38:K39"/>
    <mergeCell ref="L38:L39"/>
    <mergeCell ref="M38:M39"/>
    <mergeCell ref="N38:N39"/>
    <mergeCell ref="O38:O39"/>
    <mergeCell ref="P38:P39"/>
    <mergeCell ref="Q38:Q39"/>
    <mergeCell ref="Q9:S9"/>
    <mergeCell ref="R38:R39"/>
    <mergeCell ref="C42:C43"/>
    <mergeCell ref="D42:D43"/>
    <mergeCell ref="E42:E43"/>
    <mergeCell ref="F42:F43"/>
    <mergeCell ref="G42:G43"/>
    <mergeCell ref="H42:H43"/>
    <mergeCell ref="I42:I43"/>
    <mergeCell ref="A33:A55"/>
    <mergeCell ref="B33:B55"/>
    <mergeCell ref="I49:I50"/>
    <mergeCell ref="C53:C54"/>
    <mergeCell ref="D53:D54"/>
    <mergeCell ref="E53:E54"/>
    <mergeCell ref="F53:F54"/>
    <mergeCell ref="G53:G54"/>
    <mergeCell ref="H53:H54"/>
    <mergeCell ref="I53:I54"/>
    <mergeCell ref="C49:C50"/>
    <mergeCell ref="D49:D50"/>
    <mergeCell ref="E49:E50"/>
    <mergeCell ref="F49:F50"/>
    <mergeCell ref="G49:G50"/>
    <mergeCell ref="H49:H50"/>
    <mergeCell ref="A56:A72"/>
    <mergeCell ref="B56:B72"/>
    <mergeCell ref="S56:S72"/>
    <mergeCell ref="C66:C67"/>
    <mergeCell ref="D66:D67"/>
    <mergeCell ref="E66:E67"/>
    <mergeCell ref="F66:F67"/>
    <mergeCell ref="G66:G67"/>
    <mergeCell ref="H66:H67"/>
    <mergeCell ref="I66:I67"/>
    <mergeCell ref="I70:I71"/>
    <mergeCell ref="C70:C71"/>
    <mergeCell ref="D70:D71"/>
    <mergeCell ref="E70:E71"/>
    <mergeCell ref="F70:F71"/>
    <mergeCell ref="G70:G71"/>
    <mergeCell ref="H70:H71"/>
    <mergeCell ref="A73:A96"/>
    <mergeCell ref="B73:B96"/>
    <mergeCell ref="S73:S96"/>
    <mergeCell ref="C90:C91"/>
    <mergeCell ref="D90:D91"/>
    <mergeCell ref="E90:E91"/>
    <mergeCell ref="F90:F91"/>
    <mergeCell ref="G90:G91"/>
    <mergeCell ref="H90:H91"/>
    <mergeCell ref="I90:I91"/>
    <mergeCell ref="C94:C95"/>
    <mergeCell ref="D94:D95"/>
    <mergeCell ref="E94:E95"/>
    <mergeCell ref="F94:F95"/>
    <mergeCell ref="G94:G95"/>
    <mergeCell ref="H94:H95"/>
    <mergeCell ref="I94:I95"/>
    <mergeCell ref="I118:I119"/>
    <mergeCell ref="A121:A149"/>
    <mergeCell ref="B121:B149"/>
    <mergeCell ref="S121:S149"/>
    <mergeCell ref="A150:A166"/>
    <mergeCell ref="B150:B166"/>
    <mergeCell ref="S150:S166"/>
    <mergeCell ref="C118:C119"/>
    <mergeCell ref="D118:D119"/>
    <mergeCell ref="E118:E119"/>
    <mergeCell ref="F118:F119"/>
    <mergeCell ref="G118:G119"/>
    <mergeCell ref="H118:H119"/>
    <mergeCell ref="A97:A120"/>
    <mergeCell ref="B97:B120"/>
    <mergeCell ref="S97:S120"/>
    <mergeCell ref="C114:C115"/>
    <mergeCell ref="D114:D115"/>
    <mergeCell ref="E114:E115"/>
    <mergeCell ref="F114:F115"/>
    <mergeCell ref="G114:G115"/>
    <mergeCell ref="H114:H115"/>
    <mergeCell ref="I114:I115"/>
    <mergeCell ref="A229:A269"/>
    <mergeCell ref="B229:B269"/>
    <mergeCell ref="S229:S269"/>
    <mergeCell ref="A270:A298"/>
    <mergeCell ref="B270:B298"/>
    <mergeCell ref="S270:S298"/>
    <mergeCell ref="A167:A195"/>
    <mergeCell ref="B167:B195"/>
    <mergeCell ref="S167:S195"/>
    <mergeCell ref="A196:A228"/>
    <mergeCell ref="B196:B228"/>
    <mergeCell ref="S196:S228"/>
  </mergeCells>
  <pageMargins left="0.70866141732283472" right="0.19685039370078741" top="0.19685039370078741" bottom="0.19685039370078741" header="0.31496062992125984" footer="0.31496062992125984"/>
  <pageSetup paperSize="9" scale="3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5"/>
  <sheetViews>
    <sheetView zoomScale="55" zoomScaleNormal="55" zoomScaleSheetLayoutView="71" workbookViewId="0">
      <selection activeCell="H36" sqref="H36"/>
    </sheetView>
  </sheetViews>
  <sheetFormatPr defaultRowHeight="16.5" x14ac:dyDescent="0.25"/>
  <cols>
    <col min="1" max="1" width="13.28515625" style="16" bestFit="1" customWidth="1"/>
    <col min="2" max="2" width="38.140625" style="16" customWidth="1"/>
    <col min="3" max="3" width="19.5703125" style="16" customWidth="1"/>
    <col min="4" max="4" width="14.5703125" style="16" customWidth="1"/>
    <col min="5" max="5" width="12.5703125" style="16" customWidth="1"/>
    <col min="6" max="6" width="26.7109375" style="17" customWidth="1"/>
    <col min="7" max="7" width="21" style="16" customWidth="1"/>
    <col min="8" max="8" width="12.5703125" style="16" customWidth="1"/>
    <col min="9" max="9" width="40.7109375" style="16" customWidth="1"/>
    <col min="10" max="10" width="22.140625" style="16" customWidth="1"/>
    <col min="11" max="11" width="14.5703125" style="16" customWidth="1"/>
    <col min="12" max="12" width="22.5703125" style="16" customWidth="1"/>
    <col min="13" max="13" width="28.42578125" style="17" customWidth="1"/>
    <col min="14" max="14" width="30.140625" style="16" customWidth="1"/>
    <col min="15" max="15" width="12.5703125" style="16" customWidth="1"/>
    <col min="16" max="16" width="19.7109375" style="16" customWidth="1"/>
    <col min="17" max="17" width="26.28515625" style="16" customWidth="1"/>
  </cols>
  <sheetData>
    <row r="1" spans="1:18" x14ac:dyDescent="0.25">
      <c r="A1" s="49"/>
      <c r="B1" s="49"/>
      <c r="C1" s="57"/>
      <c r="D1" s="56"/>
      <c r="E1" s="56"/>
      <c r="F1" s="55"/>
      <c r="G1" s="49"/>
      <c r="H1" s="49"/>
      <c r="I1" s="49"/>
      <c r="J1" s="49"/>
      <c r="K1" s="49"/>
      <c r="L1" s="49"/>
      <c r="M1" s="54"/>
      <c r="N1" s="49"/>
      <c r="O1" s="49"/>
      <c r="P1" s="49"/>
      <c r="Q1" s="49"/>
    </row>
    <row r="2" spans="1:18" x14ac:dyDescent="0.25">
      <c r="A2"/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49"/>
    </row>
    <row r="3" spans="1:18" x14ac:dyDescent="0.25">
      <c r="A3"/>
      <c r="B3" s="558" t="s">
        <v>333</v>
      </c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  <c r="R3" s="49"/>
    </row>
    <row r="4" spans="1:18" ht="18.75" x14ac:dyDescent="0.25">
      <c r="A4"/>
      <c r="B4" s="559" t="s">
        <v>332</v>
      </c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559"/>
      <c r="Q4" s="559"/>
      <c r="R4" s="49"/>
    </row>
    <row r="5" spans="1:18" x14ac:dyDescent="0.25">
      <c r="A5"/>
      <c r="B5" s="549" t="s">
        <v>331</v>
      </c>
      <c r="C5" s="549"/>
      <c r="D5" s="549"/>
      <c r="E5" s="549"/>
      <c r="F5" s="549"/>
      <c r="G5" s="549"/>
      <c r="H5" s="549"/>
      <c r="I5" s="549"/>
      <c r="J5" s="549"/>
      <c r="K5" s="549"/>
      <c r="L5" s="549"/>
      <c r="M5" s="549"/>
      <c r="N5" s="549"/>
      <c r="O5" s="549"/>
      <c r="P5" s="549"/>
      <c r="Q5" s="549"/>
      <c r="R5" s="53"/>
    </row>
    <row r="6" spans="1:18" x14ac:dyDescent="0.25">
      <c r="A6"/>
      <c r="B6" s="558" t="s">
        <v>271</v>
      </c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8"/>
      <c r="R6" s="49"/>
    </row>
    <row r="7" spans="1:18" x14ac:dyDescent="0.25">
      <c r="A7"/>
      <c r="B7" s="50"/>
      <c r="C7" s="50"/>
      <c r="D7" s="50"/>
      <c r="E7" s="50"/>
      <c r="F7" s="51"/>
      <c r="G7" s="50"/>
      <c r="H7" s="50"/>
      <c r="I7" s="50"/>
      <c r="J7" s="50"/>
      <c r="K7" s="50"/>
      <c r="L7" s="50"/>
      <c r="M7" s="51"/>
      <c r="N7" s="50"/>
      <c r="O7" s="50"/>
      <c r="P7" s="50"/>
      <c r="Q7" s="50"/>
      <c r="R7" s="49"/>
    </row>
    <row r="8" spans="1:18" x14ac:dyDescent="0.25">
      <c r="A8" s="464"/>
      <c r="B8" s="560" t="s">
        <v>4</v>
      </c>
      <c r="C8" s="560"/>
      <c r="D8" s="560"/>
      <c r="E8" s="560"/>
      <c r="F8" s="560"/>
      <c r="G8" s="560"/>
      <c r="H8" s="560"/>
      <c r="I8" s="560"/>
      <c r="J8" s="560"/>
      <c r="K8" s="560"/>
      <c r="L8" s="560"/>
      <c r="M8" s="560"/>
      <c r="N8" s="560"/>
      <c r="O8" s="561"/>
      <c r="P8" s="561"/>
      <c r="Q8" s="561"/>
    </row>
    <row r="9" spans="1:18" x14ac:dyDescent="0.25">
      <c r="A9" s="464"/>
      <c r="B9" s="560" t="s">
        <v>5</v>
      </c>
      <c r="C9" s="560"/>
      <c r="D9" s="560"/>
      <c r="E9" s="560"/>
      <c r="F9" s="560"/>
      <c r="G9" s="560"/>
      <c r="H9" s="560" t="s">
        <v>6</v>
      </c>
      <c r="I9" s="562"/>
      <c r="J9" s="562"/>
      <c r="K9" s="562"/>
      <c r="L9" s="562"/>
      <c r="M9" s="562"/>
      <c r="N9" s="562"/>
      <c r="O9" s="560" t="s">
        <v>7</v>
      </c>
      <c r="P9" s="560"/>
      <c r="Q9" s="561"/>
    </row>
    <row r="10" spans="1:18" ht="66" x14ac:dyDescent="0.25">
      <c r="A10" s="464" t="s">
        <v>3</v>
      </c>
      <c r="B10" s="464" t="s">
        <v>8</v>
      </c>
      <c r="C10" s="464" t="s">
        <v>9</v>
      </c>
      <c r="D10" s="45" t="s">
        <v>330</v>
      </c>
      <c r="E10" s="45" t="s">
        <v>329</v>
      </c>
      <c r="F10" s="46" t="s">
        <v>328</v>
      </c>
      <c r="G10" s="45" t="s">
        <v>327</v>
      </c>
      <c r="H10" s="464" t="s">
        <v>3</v>
      </c>
      <c r="I10" s="464" t="s">
        <v>8</v>
      </c>
      <c r="J10" s="464" t="s">
        <v>9</v>
      </c>
      <c r="K10" s="45" t="s">
        <v>326</v>
      </c>
      <c r="L10" s="45" t="s">
        <v>325</v>
      </c>
      <c r="M10" s="46" t="s">
        <v>324</v>
      </c>
      <c r="N10" s="45" t="s">
        <v>323</v>
      </c>
      <c r="O10" s="45" t="s">
        <v>322</v>
      </c>
      <c r="P10" s="464" t="s">
        <v>10</v>
      </c>
      <c r="Q10" s="464" t="s">
        <v>11</v>
      </c>
    </row>
    <row r="11" spans="1:18" s="42" customFormat="1" x14ac:dyDescent="0.25">
      <c r="A11" s="27">
        <v>1</v>
      </c>
      <c r="B11" s="27">
        <v>2</v>
      </c>
      <c r="C11" s="27">
        <v>3</v>
      </c>
      <c r="D11" s="467">
        <v>4</v>
      </c>
      <c r="E11" s="27">
        <v>5</v>
      </c>
      <c r="F11" s="19">
        <v>6</v>
      </c>
      <c r="G11" s="27">
        <v>7</v>
      </c>
      <c r="H11" s="467">
        <v>8</v>
      </c>
      <c r="I11" s="27">
        <v>9</v>
      </c>
      <c r="J11" s="27">
        <v>10</v>
      </c>
      <c r="K11" s="27">
        <v>11</v>
      </c>
      <c r="L11" s="27">
        <v>12</v>
      </c>
      <c r="M11" s="19">
        <v>13</v>
      </c>
      <c r="N11" s="27">
        <v>14</v>
      </c>
      <c r="O11" s="27">
        <v>15</v>
      </c>
      <c r="P11" s="27">
        <v>16</v>
      </c>
      <c r="Q11" s="27">
        <v>17</v>
      </c>
    </row>
    <row r="12" spans="1:18" s="60" customFormat="1" ht="33" x14ac:dyDescent="0.25">
      <c r="A12" s="454" t="s">
        <v>13</v>
      </c>
      <c r="B12" s="457" t="s">
        <v>321</v>
      </c>
      <c r="C12" s="454"/>
      <c r="D12" s="454"/>
      <c r="E12" s="454"/>
      <c r="F12" s="35"/>
      <c r="G12" s="35"/>
      <c r="H12" s="454" t="s">
        <v>13</v>
      </c>
      <c r="I12" s="59" t="str">
        <f>B12</f>
        <v>Осуществление издательской деятельности</v>
      </c>
      <c r="J12" s="454"/>
      <c r="K12" s="19"/>
      <c r="L12" s="19"/>
      <c r="M12" s="35"/>
      <c r="N12" s="35"/>
      <c r="O12" s="468"/>
      <c r="P12" s="454"/>
      <c r="Q12" s="557" t="s">
        <v>15</v>
      </c>
    </row>
    <row r="13" spans="1:18" ht="66" x14ac:dyDescent="0.25">
      <c r="A13" s="27">
        <v>1</v>
      </c>
      <c r="B13" s="26" t="s">
        <v>320</v>
      </c>
      <c r="C13" s="27" t="s">
        <v>18</v>
      </c>
      <c r="D13" s="38">
        <v>100</v>
      </c>
      <c r="E13" s="28">
        <v>127.1</v>
      </c>
      <c r="F13" s="24">
        <f>IF(E13/D13*100&gt;100,100,E13/D13*100)</f>
        <v>100</v>
      </c>
      <c r="G13" s="27"/>
      <c r="H13" s="27" t="s">
        <v>319</v>
      </c>
      <c r="I13" s="41" t="s">
        <v>318</v>
      </c>
      <c r="J13" s="19" t="s">
        <v>163</v>
      </c>
      <c r="K13" s="40">
        <v>927588</v>
      </c>
      <c r="L13" s="40">
        <v>1179361</v>
      </c>
      <c r="M13" s="24">
        <f t="shared" ref="M13:M19" si="0">IF(L13/K13*100&gt;110,110,L13/K13*100)</f>
        <v>110</v>
      </c>
      <c r="N13" s="469"/>
      <c r="O13" s="470"/>
      <c r="P13" s="470"/>
      <c r="Q13" s="557"/>
    </row>
    <row r="14" spans="1:18" ht="23.25" customHeight="1" x14ac:dyDescent="0.25">
      <c r="A14" s="39" t="s">
        <v>16</v>
      </c>
      <c r="B14" s="26" t="s">
        <v>317</v>
      </c>
      <c r="C14" s="27" t="s">
        <v>18</v>
      </c>
      <c r="D14" s="38">
        <v>100</v>
      </c>
      <c r="E14" s="28">
        <v>94.6</v>
      </c>
      <c r="F14" s="24">
        <f>IF(E14/D14*100&gt;100,100,E14/D14*100)</f>
        <v>94.6</v>
      </c>
      <c r="G14" s="27"/>
      <c r="H14" s="39"/>
      <c r="I14" s="26" t="s">
        <v>311</v>
      </c>
      <c r="J14" s="19" t="s">
        <v>163</v>
      </c>
      <c r="K14" s="25">
        <v>593844</v>
      </c>
      <c r="L14" s="25">
        <v>631533</v>
      </c>
      <c r="M14" s="24">
        <f t="shared" si="0"/>
        <v>106.34661628306424</v>
      </c>
      <c r="N14" s="19"/>
      <c r="O14" s="19"/>
      <c r="P14" s="19"/>
      <c r="Q14" s="557"/>
    </row>
    <row r="15" spans="1:18" ht="33" x14ac:dyDescent="0.25">
      <c r="A15" s="27" t="s">
        <v>21</v>
      </c>
      <c r="B15" s="26" t="s">
        <v>316</v>
      </c>
      <c r="C15" s="27" t="s">
        <v>18</v>
      </c>
      <c r="D15" s="38">
        <v>100</v>
      </c>
      <c r="E15" s="28">
        <v>363.6</v>
      </c>
      <c r="F15" s="24">
        <f>IF(E15/D15*100&gt;100,100,E15/D15*100)</f>
        <v>100</v>
      </c>
      <c r="G15" s="27"/>
      <c r="H15" s="39" t="s">
        <v>16</v>
      </c>
      <c r="I15" s="26" t="s">
        <v>315</v>
      </c>
      <c r="J15" s="19" t="s">
        <v>163</v>
      </c>
      <c r="K15" s="25">
        <v>612000</v>
      </c>
      <c r="L15" s="25">
        <v>579134</v>
      </c>
      <c r="M15" s="24">
        <f t="shared" si="0"/>
        <v>94.629738562091504</v>
      </c>
      <c r="N15" s="19"/>
      <c r="O15" s="19"/>
      <c r="P15" s="19"/>
      <c r="Q15" s="557"/>
    </row>
    <row r="16" spans="1:18" ht="33" customHeight="1" x14ac:dyDescent="0.25">
      <c r="A16" s="27" t="s">
        <v>23</v>
      </c>
      <c r="B16" s="26" t="s">
        <v>314</v>
      </c>
      <c r="C16" s="27" t="s">
        <v>18</v>
      </c>
      <c r="D16" s="38">
        <v>100</v>
      </c>
      <c r="E16" s="28">
        <v>147.1</v>
      </c>
      <c r="F16" s="24">
        <f>IF(E16/D16*100&gt;100,100,E16/D16*100)</f>
        <v>100</v>
      </c>
      <c r="G16" s="27"/>
      <c r="H16" s="27" t="s">
        <v>224</v>
      </c>
      <c r="I16" s="26" t="s">
        <v>311</v>
      </c>
      <c r="J16" s="19" t="s">
        <v>163</v>
      </c>
      <c r="K16" s="25">
        <v>537132</v>
      </c>
      <c r="L16" s="25">
        <v>461708</v>
      </c>
      <c r="M16" s="24">
        <f t="shared" si="0"/>
        <v>85.958014044964742</v>
      </c>
      <c r="N16" s="19"/>
      <c r="O16" s="19"/>
      <c r="P16" s="19"/>
      <c r="Q16" s="557"/>
    </row>
    <row r="17" spans="1:17" ht="66" x14ac:dyDescent="0.3">
      <c r="A17" s="471"/>
      <c r="B17" s="472"/>
      <c r="C17" s="471"/>
      <c r="D17" s="471"/>
      <c r="E17" s="471"/>
      <c r="F17" s="473"/>
      <c r="G17" s="471"/>
      <c r="H17" s="27" t="s">
        <v>21</v>
      </c>
      <c r="I17" s="26" t="s">
        <v>313</v>
      </c>
      <c r="J17" s="19" t="s">
        <v>163</v>
      </c>
      <c r="K17" s="25">
        <v>60588</v>
      </c>
      <c r="L17" s="25">
        <v>220321</v>
      </c>
      <c r="M17" s="24">
        <f t="shared" si="0"/>
        <v>110</v>
      </c>
      <c r="N17" s="471"/>
      <c r="O17" s="471"/>
      <c r="P17" s="26"/>
      <c r="Q17" s="557"/>
    </row>
    <row r="18" spans="1:17" ht="25.5" customHeight="1" x14ac:dyDescent="0.25">
      <c r="A18" s="464"/>
      <c r="B18" s="464"/>
      <c r="C18" s="464"/>
      <c r="D18" s="464"/>
      <c r="E18" s="464"/>
      <c r="F18" s="454"/>
      <c r="G18" s="464"/>
      <c r="H18" s="27" t="s">
        <v>312</v>
      </c>
      <c r="I18" s="26" t="s">
        <v>311</v>
      </c>
      <c r="J18" s="19" t="s">
        <v>163</v>
      </c>
      <c r="K18" s="25">
        <v>56712</v>
      </c>
      <c r="L18" s="25">
        <v>165914</v>
      </c>
      <c r="M18" s="24">
        <f t="shared" si="0"/>
        <v>110</v>
      </c>
      <c r="N18" s="464"/>
      <c r="O18" s="464"/>
      <c r="P18" s="26"/>
      <c r="Q18" s="557"/>
    </row>
    <row r="19" spans="1:17" ht="29.25" customHeight="1" x14ac:dyDescent="0.25">
      <c r="A19" s="464"/>
      <c r="B19" s="464"/>
      <c r="C19" s="464"/>
      <c r="D19" s="464"/>
      <c r="E19" s="464"/>
      <c r="F19" s="454"/>
      <c r="G19" s="464"/>
      <c r="H19" s="27" t="s">
        <v>23</v>
      </c>
      <c r="I19" s="26" t="s">
        <v>310</v>
      </c>
      <c r="J19" s="19" t="s">
        <v>163</v>
      </c>
      <c r="K19" s="25">
        <v>255000</v>
      </c>
      <c r="L19" s="25">
        <v>375000</v>
      </c>
      <c r="M19" s="24">
        <f t="shared" si="0"/>
        <v>110</v>
      </c>
      <c r="N19" s="464"/>
      <c r="O19" s="464"/>
      <c r="P19" s="26"/>
      <c r="Q19" s="557"/>
    </row>
    <row r="20" spans="1:17" ht="39" x14ac:dyDescent="0.25">
      <c r="A20" s="83"/>
      <c r="B20" s="465"/>
      <c r="C20" s="466" t="s">
        <v>645</v>
      </c>
      <c r="D20" s="465"/>
      <c r="E20" s="465"/>
      <c r="F20" s="465"/>
      <c r="G20" s="37">
        <f>(F13+F14+F15+F16)/4</f>
        <v>98.65</v>
      </c>
      <c r="H20" s="18"/>
      <c r="I20" s="20"/>
      <c r="J20" s="466" t="s">
        <v>645</v>
      </c>
      <c r="K20" s="20"/>
      <c r="L20" s="20"/>
      <c r="M20" s="20"/>
      <c r="N20" s="18">
        <f>(M13+M14+M15+M16+M17+M18+M19)/7</f>
        <v>103.84776698430292</v>
      </c>
      <c r="O20" s="18">
        <f>(G20+N20)/2</f>
        <v>101.24888349215146</v>
      </c>
      <c r="P20" s="18" t="s">
        <v>25</v>
      </c>
      <c r="Q20" s="557"/>
    </row>
    <row r="21" spans="1:17" ht="33" x14ac:dyDescent="0.25">
      <c r="A21" s="456" t="s">
        <v>26</v>
      </c>
      <c r="B21" s="36" t="s">
        <v>309</v>
      </c>
      <c r="C21" s="456"/>
      <c r="D21" s="456"/>
      <c r="E21" s="456"/>
      <c r="F21" s="35"/>
      <c r="G21" s="460"/>
      <c r="H21" s="456" t="str">
        <f>A21</f>
        <v>II</v>
      </c>
      <c r="I21" s="34" t="str">
        <f>B21</f>
        <v>Производство и распространение телепрограмм</v>
      </c>
      <c r="J21" s="456"/>
      <c r="K21" s="458"/>
      <c r="L21" s="458"/>
      <c r="M21" s="24"/>
      <c r="N21" s="460"/>
      <c r="O21" s="193"/>
      <c r="P21" s="456"/>
      <c r="Q21" s="557"/>
    </row>
    <row r="22" spans="1:17" ht="49.5" x14ac:dyDescent="0.25">
      <c r="A22" s="29" t="s">
        <v>28</v>
      </c>
      <c r="B22" s="26" t="s">
        <v>308</v>
      </c>
      <c r="C22" s="27" t="s">
        <v>163</v>
      </c>
      <c r="D22" s="28">
        <v>1</v>
      </c>
      <c r="E22" s="28">
        <v>1</v>
      </c>
      <c r="F22" s="24">
        <f>E22/D22*100</f>
        <v>100</v>
      </c>
      <c r="G22" s="27"/>
      <c r="H22" s="27" t="s">
        <v>28</v>
      </c>
      <c r="I22" s="27" t="s">
        <v>307</v>
      </c>
      <c r="J22" s="27" t="s">
        <v>305</v>
      </c>
      <c r="K22" s="27">
        <v>1752</v>
      </c>
      <c r="L22" s="27">
        <v>1995.9</v>
      </c>
      <c r="M22" s="24">
        <f>IF(L22/K22*100&gt;110,110,L22/K22*100)</f>
        <v>110</v>
      </c>
      <c r="N22" s="469"/>
      <c r="O22" s="26"/>
      <c r="P22" s="23"/>
      <c r="Q22" s="557"/>
    </row>
    <row r="23" spans="1:17" ht="49.5" x14ac:dyDescent="0.25">
      <c r="A23" s="29" t="s">
        <v>30</v>
      </c>
      <c r="B23" s="26" t="s">
        <v>306</v>
      </c>
      <c r="C23" s="27" t="s">
        <v>305</v>
      </c>
      <c r="D23" s="28">
        <v>24</v>
      </c>
      <c r="E23" s="28">
        <v>24</v>
      </c>
      <c r="F23" s="24">
        <f>E23/D23*100</f>
        <v>100</v>
      </c>
      <c r="G23" s="27"/>
      <c r="H23" s="27"/>
      <c r="I23" s="26"/>
      <c r="J23" s="19"/>
      <c r="K23" s="25"/>
      <c r="L23" s="25"/>
      <c r="M23" s="24"/>
      <c r="N23" s="19"/>
      <c r="O23" s="23"/>
      <c r="P23" s="23"/>
      <c r="Q23" s="557"/>
    </row>
    <row r="24" spans="1:17" ht="66" x14ac:dyDescent="0.25">
      <c r="A24" s="29" t="s">
        <v>34</v>
      </c>
      <c r="B24" s="26" t="s">
        <v>304</v>
      </c>
      <c r="C24" s="27" t="s">
        <v>163</v>
      </c>
      <c r="D24" s="28">
        <v>1</v>
      </c>
      <c r="E24" s="28">
        <v>1</v>
      </c>
      <c r="F24" s="24">
        <f>E24/D24*100</f>
        <v>100</v>
      </c>
      <c r="G24" s="27"/>
      <c r="H24" s="27"/>
      <c r="I24" s="26"/>
      <c r="J24" s="19"/>
      <c r="K24" s="25"/>
      <c r="L24" s="25"/>
      <c r="M24" s="24"/>
      <c r="N24" s="19"/>
      <c r="O24" s="23"/>
      <c r="P24" s="23"/>
      <c r="Q24" s="557"/>
    </row>
    <row r="25" spans="1:17" s="5" customFormat="1" ht="39" x14ac:dyDescent="0.25">
      <c r="A25" s="83"/>
      <c r="B25" s="465"/>
      <c r="C25" s="466" t="s">
        <v>645</v>
      </c>
      <c r="D25" s="465"/>
      <c r="E25" s="465"/>
      <c r="F25" s="465"/>
      <c r="G25" s="18">
        <f>(F22+F23+F24)/3</f>
        <v>100</v>
      </c>
      <c r="H25" s="18"/>
      <c r="I25" s="20"/>
      <c r="J25" s="466" t="s">
        <v>645</v>
      </c>
      <c r="K25" s="20"/>
      <c r="L25" s="20"/>
      <c r="M25" s="20"/>
      <c r="N25" s="18">
        <f>M22</f>
        <v>110</v>
      </c>
      <c r="O25" s="18">
        <f>(G25+N25)/2</f>
        <v>105</v>
      </c>
      <c r="P25" s="18" t="s">
        <v>25</v>
      </c>
      <c r="Q25" s="557"/>
    </row>
  </sheetData>
  <autoFilter ref="A11:R11"/>
  <mergeCells count="10">
    <mergeCell ref="Q12:Q25"/>
    <mergeCell ref="B2:Q2"/>
    <mergeCell ref="B3:Q3"/>
    <mergeCell ref="B4:Q4"/>
    <mergeCell ref="B5:Q5"/>
    <mergeCell ref="B6:Q6"/>
    <mergeCell ref="B8:Q8"/>
    <mergeCell ref="B9:G9"/>
    <mergeCell ref="H9:N9"/>
    <mergeCell ref="O9:Q9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3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9"/>
  <sheetViews>
    <sheetView zoomScale="55" zoomScaleNormal="55" workbookViewId="0">
      <pane xSplit="1" ySplit="1" topLeftCell="B2" activePane="bottomRight" state="frozen"/>
      <selection pane="topRight" activeCell="C1" sqref="C1"/>
      <selection pane="bottomLeft" activeCell="A17" sqref="A17"/>
      <selection pane="bottomRight" activeCell="K40" sqref="K40"/>
    </sheetView>
  </sheetViews>
  <sheetFormatPr defaultRowHeight="15" x14ac:dyDescent="0.25"/>
  <cols>
    <col min="1" max="1" width="13" customWidth="1"/>
    <col min="2" max="2" width="36.42578125" customWidth="1"/>
    <col min="3" max="3" width="18.85546875" customWidth="1"/>
    <col min="4" max="5" width="13.7109375" customWidth="1"/>
    <col min="6" max="6" width="13" customWidth="1"/>
    <col min="7" max="7" width="13.7109375" customWidth="1"/>
    <col min="8" max="8" width="10.7109375" customWidth="1"/>
    <col min="9" max="9" width="43.85546875" customWidth="1"/>
    <col min="10" max="10" width="20.5703125" customWidth="1"/>
    <col min="11" max="11" width="15.85546875" customWidth="1"/>
    <col min="12" max="12" width="17.85546875" style="62" customWidth="1"/>
    <col min="13" max="13" width="12.5703125" style="61" customWidth="1"/>
    <col min="14" max="14" width="13.42578125" customWidth="1"/>
    <col min="15" max="15" width="19.140625" customWidth="1"/>
    <col min="16" max="16" width="20.5703125" customWidth="1"/>
    <col min="17" max="17" width="19.85546875" customWidth="1"/>
  </cols>
  <sheetData>
    <row r="1" spans="1:17" ht="16.5" x14ac:dyDescent="0.25">
      <c r="A1" s="558" t="s">
        <v>0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</row>
    <row r="2" spans="1:17" ht="16.5" customHeight="1" x14ac:dyDescent="0.25">
      <c r="A2" s="558" t="s">
        <v>333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</row>
    <row r="3" spans="1:17" ht="18.75" customHeight="1" x14ac:dyDescent="0.25">
      <c r="A3" s="564" t="s">
        <v>341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  <c r="O3" s="564"/>
      <c r="P3" s="564"/>
      <c r="Q3" s="564"/>
    </row>
    <row r="4" spans="1:17" ht="16.5" customHeight="1" x14ac:dyDescent="0.25">
      <c r="A4" s="558"/>
      <c r="B4" s="558"/>
      <c r="C4" s="558"/>
      <c r="D4" s="558"/>
      <c r="E4" s="558"/>
      <c r="F4" s="558"/>
      <c r="G4" s="558"/>
      <c r="H4" s="558"/>
      <c r="I4" s="558"/>
      <c r="J4" s="558"/>
      <c r="K4" s="558"/>
      <c r="L4" s="558"/>
      <c r="M4" s="558"/>
      <c r="N4" s="558"/>
      <c r="O4" s="558"/>
      <c r="P4" s="558"/>
      <c r="Q4" s="558"/>
    </row>
    <row r="5" spans="1:17" ht="16.5" x14ac:dyDescent="0.25">
      <c r="A5" s="558" t="s">
        <v>271</v>
      </c>
      <c r="B5" s="558"/>
      <c r="C5" s="558"/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8"/>
      <c r="P5" s="558"/>
      <c r="Q5" s="558"/>
    </row>
    <row r="6" spans="1:17" ht="16.5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72"/>
      <c r="N6" s="52"/>
      <c r="O6" s="52"/>
      <c r="P6" s="49"/>
    </row>
    <row r="7" spans="1:17" ht="33" customHeight="1" x14ac:dyDescent="0.25">
      <c r="A7" s="47"/>
      <c r="B7" s="560" t="s">
        <v>4</v>
      </c>
      <c r="C7" s="560"/>
      <c r="D7" s="560"/>
      <c r="E7" s="560"/>
      <c r="F7" s="560"/>
      <c r="G7" s="560"/>
      <c r="H7" s="560"/>
      <c r="I7" s="560"/>
      <c r="J7" s="560"/>
      <c r="K7" s="560"/>
      <c r="L7" s="560"/>
      <c r="M7" s="560"/>
      <c r="N7" s="560"/>
      <c r="O7" s="561"/>
      <c r="P7" s="561"/>
    </row>
    <row r="8" spans="1:17" ht="41.25" customHeight="1" x14ac:dyDescent="0.25">
      <c r="A8" s="47"/>
      <c r="B8" s="560" t="s">
        <v>5</v>
      </c>
      <c r="C8" s="560"/>
      <c r="D8" s="560"/>
      <c r="E8" s="560"/>
      <c r="F8" s="560"/>
      <c r="G8" s="560"/>
      <c r="H8" s="560" t="s">
        <v>6</v>
      </c>
      <c r="I8" s="562"/>
      <c r="J8" s="562"/>
      <c r="K8" s="562"/>
      <c r="L8" s="562"/>
      <c r="M8" s="562"/>
      <c r="N8" s="562"/>
      <c r="O8" s="560" t="s">
        <v>7</v>
      </c>
      <c r="P8" s="560"/>
      <c r="Q8" s="561"/>
    </row>
    <row r="9" spans="1:17" ht="99" customHeight="1" x14ac:dyDescent="0.25">
      <c r="A9" s="47" t="s">
        <v>3</v>
      </c>
      <c r="B9" s="47" t="s">
        <v>8</v>
      </c>
      <c r="C9" s="47" t="s">
        <v>9</v>
      </c>
      <c r="D9" s="48" t="s">
        <v>330</v>
      </c>
      <c r="E9" s="48" t="s">
        <v>329</v>
      </c>
      <c r="F9" s="48" t="s">
        <v>328</v>
      </c>
      <c r="G9" s="48" t="s">
        <v>327</v>
      </c>
      <c r="H9" s="47" t="s">
        <v>3</v>
      </c>
      <c r="I9" s="47" t="s">
        <v>8</v>
      </c>
      <c r="J9" s="47" t="s">
        <v>9</v>
      </c>
      <c r="K9" s="48" t="s">
        <v>326</v>
      </c>
      <c r="L9" s="48" t="s">
        <v>325</v>
      </c>
      <c r="M9" s="48" t="s">
        <v>324</v>
      </c>
      <c r="N9" s="48" t="s">
        <v>323</v>
      </c>
      <c r="O9" s="48" t="s">
        <v>322</v>
      </c>
      <c r="P9" s="47" t="s">
        <v>10</v>
      </c>
      <c r="Q9" s="47" t="s">
        <v>11</v>
      </c>
    </row>
    <row r="10" spans="1:17" x14ac:dyDescent="0.25">
      <c r="A10" s="43">
        <v>1</v>
      </c>
      <c r="B10" s="43">
        <v>2</v>
      </c>
      <c r="C10" s="43">
        <v>3</v>
      </c>
      <c r="D10" s="43">
        <v>4</v>
      </c>
      <c r="E10" s="43">
        <v>5</v>
      </c>
      <c r="F10" s="43">
        <v>6</v>
      </c>
      <c r="G10" s="43">
        <v>7</v>
      </c>
      <c r="H10" s="43">
        <v>8</v>
      </c>
      <c r="I10" s="43">
        <v>9</v>
      </c>
      <c r="J10" s="43">
        <v>10</v>
      </c>
      <c r="K10" s="43">
        <v>11</v>
      </c>
      <c r="L10" s="43">
        <v>12</v>
      </c>
      <c r="M10" s="71">
        <v>13</v>
      </c>
      <c r="N10" s="43">
        <v>14</v>
      </c>
      <c r="O10" s="43">
        <v>15</v>
      </c>
      <c r="P10" s="43">
        <v>16</v>
      </c>
      <c r="Q10" s="43">
        <v>17</v>
      </c>
    </row>
    <row r="11" spans="1:17" ht="49.5" x14ac:dyDescent="0.25">
      <c r="A11" s="47" t="s">
        <v>13</v>
      </c>
      <c r="B11" s="36" t="s">
        <v>340</v>
      </c>
      <c r="C11" s="47"/>
      <c r="D11" s="47"/>
      <c r="E11" s="47"/>
      <c r="F11" s="35"/>
      <c r="G11" s="68"/>
      <c r="H11" s="47" t="s">
        <v>13</v>
      </c>
      <c r="I11" s="59" t="str">
        <f>B11</f>
        <v>Оказание туристско-информационных услуг 
(в стационарных условиях)</v>
      </c>
      <c r="J11" s="21"/>
      <c r="K11" s="19"/>
      <c r="L11" s="19"/>
      <c r="M11" s="67"/>
      <c r="N11" s="35"/>
      <c r="O11" s="32"/>
      <c r="P11" s="70"/>
      <c r="Q11" s="563" t="s">
        <v>15</v>
      </c>
    </row>
    <row r="12" spans="1:17" ht="33" x14ac:dyDescent="0.25">
      <c r="A12" s="27" t="s">
        <v>16</v>
      </c>
      <c r="B12" s="26" t="s">
        <v>339</v>
      </c>
      <c r="C12" s="65" t="s">
        <v>334</v>
      </c>
      <c r="D12" s="25">
        <v>90</v>
      </c>
      <c r="E12" s="25">
        <v>98</v>
      </c>
      <c r="F12" s="63">
        <f>IF(E12/D12*100&gt;100,100,E12/D12*100)</f>
        <v>100</v>
      </c>
      <c r="G12" s="27"/>
      <c r="H12" s="27" t="s">
        <v>16</v>
      </c>
      <c r="I12" s="41" t="s">
        <v>335</v>
      </c>
      <c r="J12" s="65" t="s">
        <v>334</v>
      </c>
      <c r="K12" s="25">
        <v>100</v>
      </c>
      <c r="L12" s="64">
        <v>276</v>
      </c>
      <c r="M12" s="63">
        <f>IF(L12/K12*100&gt;110,110,L12/K12*100)</f>
        <v>110</v>
      </c>
      <c r="N12" s="35"/>
      <c r="O12" s="32"/>
      <c r="P12" s="69"/>
      <c r="Q12" s="563"/>
    </row>
    <row r="13" spans="1:17" s="60" customFormat="1" ht="31.5" x14ac:dyDescent="0.25">
      <c r="A13" s="20"/>
      <c r="B13" s="466" t="s">
        <v>645</v>
      </c>
      <c r="C13" s="20"/>
      <c r="D13" s="84"/>
      <c r="E13" s="85"/>
      <c r="F13" s="18"/>
      <c r="G13" s="18">
        <f>F12</f>
        <v>100</v>
      </c>
      <c r="H13" s="22"/>
      <c r="I13" s="466" t="s">
        <v>645</v>
      </c>
      <c r="J13" s="22"/>
      <c r="K13" s="22"/>
      <c r="L13" s="22"/>
      <c r="M13" s="86"/>
      <c r="N13" s="18">
        <f>M12</f>
        <v>110</v>
      </c>
      <c r="O13" s="18">
        <f>(G13+N13)/2</f>
        <v>105</v>
      </c>
      <c r="P13" s="87" t="s">
        <v>25</v>
      </c>
      <c r="Q13" s="563"/>
    </row>
    <row r="14" spans="1:17" s="60" customFormat="1" ht="49.5" x14ac:dyDescent="0.25">
      <c r="A14" s="21" t="s">
        <v>26</v>
      </c>
      <c r="B14" s="58" t="s">
        <v>338</v>
      </c>
      <c r="C14" s="21"/>
      <c r="D14" s="21"/>
      <c r="E14" s="21"/>
      <c r="F14" s="35"/>
      <c r="G14" s="35"/>
      <c r="H14" s="21" t="str">
        <f>A14</f>
        <v>II</v>
      </c>
      <c r="I14" s="59" t="str">
        <f>B14</f>
        <v>Оказание туристско-информационных услуг 
(вне стационара)</v>
      </c>
      <c r="J14" s="21"/>
      <c r="K14" s="19"/>
      <c r="L14" s="19"/>
      <c r="M14" s="67"/>
      <c r="N14" s="35"/>
      <c r="O14" s="35"/>
      <c r="P14" s="75"/>
      <c r="Q14" s="563"/>
    </row>
    <row r="15" spans="1:17" s="60" customFormat="1" ht="33.75" customHeight="1" x14ac:dyDescent="0.25">
      <c r="A15" s="19" t="s">
        <v>28</v>
      </c>
      <c r="B15" s="76" t="s">
        <v>336</v>
      </c>
      <c r="C15" s="77" t="s">
        <v>334</v>
      </c>
      <c r="D15" s="78">
        <v>0</v>
      </c>
      <c r="E15" s="78">
        <v>0</v>
      </c>
      <c r="F15" s="24">
        <v>100</v>
      </c>
      <c r="G15" s="19"/>
      <c r="H15" s="19" t="str">
        <f>A15</f>
        <v>2.1.</v>
      </c>
      <c r="I15" s="41" t="s">
        <v>335</v>
      </c>
      <c r="J15" s="77" t="s">
        <v>334</v>
      </c>
      <c r="K15" s="25">
        <v>6200</v>
      </c>
      <c r="L15" s="64">
        <v>13709</v>
      </c>
      <c r="M15" s="63">
        <f>IF(L15/K15*100&gt;110,110,L15/K15*100)</f>
        <v>110</v>
      </c>
      <c r="N15" s="35"/>
      <c r="O15" s="35"/>
      <c r="P15" s="75"/>
      <c r="Q15" s="563"/>
    </row>
    <row r="16" spans="1:17" s="60" customFormat="1" ht="31.5" x14ac:dyDescent="0.25">
      <c r="A16" s="20"/>
      <c r="B16" s="466" t="s">
        <v>645</v>
      </c>
      <c r="C16" s="20"/>
      <c r="D16" s="84"/>
      <c r="E16" s="85"/>
      <c r="F16" s="18"/>
      <c r="G16" s="18">
        <f>F15</f>
        <v>100</v>
      </c>
      <c r="H16" s="22"/>
      <c r="I16" s="466" t="s">
        <v>645</v>
      </c>
      <c r="J16" s="22"/>
      <c r="K16" s="22"/>
      <c r="L16" s="22"/>
      <c r="M16" s="86"/>
      <c r="N16" s="18">
        <f>M15</f>
        <v>110</v>
      </c>
      <c r="O16" s="18">
        <f>(G16+N16)/2</f>
        <v>105</v>
      </c>
      <c r="P16" s="87" t="s">
        <v>25</v>
      </c>
      <c r="Q16" s="563"/>
    </row>
    <row r="17" spans="1:17" s="60" customFormat="1" ht="66" x14ac:dyDescent="0.25">
      <c r="A17" s="21" t="s">
        <v>36</v>
      </c>
      <c r="B17" s="58" t="s">
        <v>337</v>
      </c>
      <c r="C17" s="79"/>
      <c r="D17" s="73"/>
      <c r="E17" s="73"/>
      <c r="F17" s="35"/>
      <c r="G17" s="80"/>
      <c r="H17" s="21" t="str">
        <f>A17</f>
        <v>III</v>
      </c>
      <c r="I17" s="58" t="s">
        <v>337</v>
      </c>
      <c r="J17" s="79"/>
      <c r="K17" s="81"/>
      <c r="L17" s="82"/>
      <c r="M17" s="67"/>
      <c r="N17" s="35"/>
      <c r="O17" s="35"/>
      <c r="Q17" s="563"/>
    </row>
    <row r="18" spans="1:17" s="60" customFormat="1" ht="16.5" x14ac:dyDescent="0.25">
      <c r="A18" s="19" t="s">
        <v>38</v>
      </c>
      <c r="B18" s="76" t="s">
        <v>336</v>
      </c>
      <c r="C18" s="77" t="s">
        <v>334</v>
      </c>
      <c r="D18" s="78">
        <v>0</v>
      </c>
      <c r="E18" s="78">
        <v>0</v>
      </c>
      <c r="F18" s="24">
        <v>100</v>
      </c>
      <c r="G18" s="19"/>
      <c r="H18" s="19" t="str">
        <f>A18</f>
        <v>3.1.</v>
      </c>
      <c r="I18" s="41" t="s">
        <v>335</v>
      </c>
      <c r="J18" s="77" t="s">
        <v>334</v>
      </c>
      <c r="K18" s="25">
        <v>194300</v>
      </c>
      <c r="L18" s="64">
        <v>1294676</v>
      </c>
      <c r="M18" s="63">
        <f>IF(L18/K18*100&gt;110,110,L18/K18*100)</f>
        <v>110</v>
      </c>
      <c r="N18" s="35"/>
      <c r="O18" s="35"/>
      <c r="P18" s="75"/>
      <c r="Q18" s="563"/>
    </row>
    <row r="19" spans="1:17" s="60" customFormat="1" ht="31.5" x14ac:dyDescent="0.25">
      <c r="A19" s="20"/>
      <c r="B19" s="466" t="s">
        <v>645</v>
      </c>
      <c r="C19" s="20"/>
      <c r="D19" s="84"/>
      <c r="E19" s="85"/>
      <c r="F19" s="18"/>
      <c r="G19" s="18">
        <f>F18</f>
        <v>100</v>
      </c>
      <c r="H19" s="22"/>
      <c r="I19" s="466" t="s">
        <v>645</v>
      </c>
      <c r="J19" s="22"/>
      <c r="K19" s="22"/>
      <c r="L19" s="22"/>
      <c r="M19" s="86"/>
      <c r="N19" s="18">
        <f>M18</f>
        <v>110</v>
      </c>
      <c r="O19" s="18">
        <f>(G19+N19)/2</f>
        <v>105</v>
      </c>
      <c r="P19" s="87" t="s">
        <v>25</v>
      </c>
      <c r="Q19" s="563"/>
    </row>
  </sheetData>
  <mergeCells count="10">
    <mergeCell ref="Q11:Q19"/>
    <mergeCell ref="O8:Q8"/>
    <mergeCell ref="A1:Q1"/>
    <mergeCell ref="A2:Q2"/>
    <mergeCell ref="A3:Q3"/>
    <mergeCell ref="A4:Q4"/>
    <mergeCell ref="A5:Q5"/>
    <mergeCell ref="B7:P7"/>
    <mergeCell ref="B8:G8"/>
    <mergeCell ref="H8:N8"/>
  </mergeCells>
  <printOptions horizontalCentered="1"/>
  <pageMargins left="0.19685039370078741" right="0.19685039370078741" top="0.43307086614173229" bottom="0.43307086614173229" header="0.31496062992125984" footer="0.31496062992125984"/>
  <pageSetup paperSize="9"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5"/>
  <sheetViews>
    <sheetView zoomScale="55" zoomScaleNormal="55" zoomScaleSheetLayoutView="65" workbookViewId="0">
      <selection activeCell="K24" sqref="K24"/>
    </sheetView>
  </sheetViews>
  <sheetFormatPr defaultRowHeight="15" x14ac:dyDescent="0.25"/>
  <cols>
    <col min="1" max="1" width="9.140625" style="88"/>
    <col min="2" max="2" width="38.140625" style="89" customWidth="1"/>
    <col min="3" max="3" width="13.85546875" style="88" customWidth="1"/>
    <col min="4" max="4" width="15" style="88" customWidth="1"/>
    <col min="5" max="5" width="14.28515625" style="88" customWidth="1"/>
    <col min="6" max="6" width="15.42578125" style="88" customWidth="1"/>
    <col min="7" max="8" width="12.5703125" style="88" customWidth="1"/>
    <col min="9" max="9" width="44.7109375" style="89" customWidth="1"/>
    <col min="10" max="10" width="17.85546875" style="88" customWidth="1"/>
    <col min="11" max="12" width="21" style="88" customWidth="1"/>
    <col min="13" max="13" width="12.5703125" style="88" customWidth="1"/>
    <col min="14" max="14" width="18.42578125" style="88" customWidth="1"/>
    <col min="15" max="15" width="12.5703125" style="88" customWidth="1"/>
    <col min="16" max="16" width="19.7109375" style="88" customWidth="1"/>
    <col min="17" max="17" width="30" customWidth="1"/>
  </cols>
  <sheetData>
    <row r="1" spans="1:18" ht="18.75" x14ac:dyDescent="0.25">
      <c r="A1" s="106"/>
      <c r="B1" s="109"/>
      <c r="C1" s="111"/>
      <c r="D1" s="110"/>
      <c r="E1" s="110"/>
      <c r="F1" s="110"/>
      <c r="G1" s="106"/>
      <c r="H1" s="106"/>
      <c r="I1" s="109"/>
      <c r="J1" s="106"/>
      <c r="K1" s="106"/>
      <c r="L1" s="106"/>
      <c r="M1" s="106"/>
      <c r="N1" s="106"/>
      <c r="O1" s="106"/>
      <c r="P1" s="106"/>
    </row>
    <row r="2" spans="1:18" ht="20.25" x14ac:dyDescent="0.25">
      <c r="A2"/>
      <c r="B2" s="543" t="s">
        <v>0</v>
      </c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106"/>
    </row>
    <row r="3" spans="1:18" ht="20.25" x14ac:dyDescent="0.25">
      <c r="A3"/>
      <c r="B3" s="543" t="s">
        <v>365</v>
      </c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106"/>
    </row>
    <row r="4" spans="1:18" ht="20.25" x14ac:dyDescent="0.25">
      <c r="A4"/>
      <c r="B4" s="546" t="s">
        <v>364</v>
      </c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106"/>
    </row>
    <row r="5" spans="1:18" ht="16.5" x14ac:dyDescent="0.25">
      <c r="A5"/>
      <c r="B5" s="549" t="s">
        <v>331</v>
      </c>
      <c r="C5" s="549"/>
      <c r="D5" s="549"/>
      <c r="E5" s="549"/>
      <c r="F5" s="549"/>
      <c r="G5" s="549"/>
      <c r="H5" s="549"/>
      <c r="I5" s="549"/>
      <c r="J5" s="549"/>
      <c r="K5" s="549"/>
      <c r="L5" s="549"/>
      <c r="M5" s="549"/>
      <c r="N5" s="549"/>
      <c r="O5" s="549"/>
      <c r="P5" s="549"/>
      <c r="Q5" s="549"/>
      <c r="R5" s="108"/>
    </row>
    <row r="6" spans="1:18" ht="20.25" x14ac:dyDescent="0.25">
      <c r="A6"/>
      <c r="B6" s="543" t="s">
        <v>366</v>
      </c>
      <c r="C6" s="543"/>
      <c r="D6" s="543"/>
      <c r="E6" s="543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106"/>
    </row>
    <row r="7" spans="1:18" ht="16.5" x14ac:dyDescent="0.25">
      <c r="A7" s="52"/>
      <c r="B7" s="107"/>
      <c r="C7" s="52"/>
      <c r="D7" s="52"/>
      <c r="E7" s="52"/>
      <c r="F7" s="52"/>
      <c r="G7" s="52"/>
      <c r="H7" s="52"/>
      <c r="I7" s="107"/>
      <c r="J7" s="52"/>
      <c r="K7" s="52"/>
      <c r="L7" s="52"/>
      <c r="M7" s="52"/>
      <c r="N7" s="52"/>
      <c r="O7" s="52"/>
      <c r="P7" s="106"/>
    </row>
    <row r="8" spans="1:18" ht="16.5" customHeight="1" x14ac:dyDescent="0.25">
      <c r="A8" s="112"/>
      <c r="B8" s="564" t="s">
        <v>4</v>
      </c>
      <c r="C8" s="564"/>
      <c r="D8" s="564"/>
      <c r="E8" s="564"/>
      <c r="F8" s="564"/>
      <c r="G8" s="564"/>
      <c r="H8" s="564"/>
      <c r="I8" s="564"/>
      <c r="J8" s="564"/>
      <c r="K8" s="564"/>
      <c r="L8" s="564"/>
      <c r="M8" s="564"/>
      <c r="N8" s="564"/>
      <c r="O8" s="564"/>
      <c r="P8" s="564"/>
      <c r="Q8" s="564"/>
    </row>
    <row r="9" spans="1:18" ht="46.5" customHeight="1" x14ac:dyDescent="0.25">
      <c r="A9" s="47"/>
      <c r="B9" s="560" t="s">
        <v>5</v>
      </c>
      <c r="C9" s="560"/>
      <c r="D9" s="560"/>
      <c r="E9" s="560"/>
      <c r="F9" s="560"/>
      <c r="G9" s="560"/>
      <c r="H9" s="560" t="s">
        <v>6</v>
      </c>
      <c r="I9" s="565"/>
      <c r="J9" s="565"/>
      <c r="K9" s="565"/>
      <c r="L9" s="565"/>
      <c r="M9" s="565"/>
      <c r="N9" s="565"/>
      <c r="O9" s="560" t="s">
        <v>7</v>
      </c>
      <c r="P9" s="560"/>
      <c r="Q9" s="561"/>
    </row>
    <row r="10" spans="1:18" ht="66" x14ac:dyDescent="0.25">
      <c r="A10" s="47" t="s">
        <v>3</v>
      </c>
      <c r="B10" s="115" t="s">
        <v>8</v>
      </c>
      <c r="C10" s="116" t="s">
        <v>9</v>
      </c>
      <c r="D10" s="117" t="s">
        <v>363</v>
      </c>
      <c r="E10" s="117" t="s">
        <v>362</v>
      </c>
      <c r="F10" s="117" t="s">
        <v>361</v>
      </c>
      <c r="G10" s="117" t="s">
        <v>360</v>
      </c>
      <c r="H10" s="47" t="s">
        <v>3</v>
      </c>
      <c r="I10" s="115" t="s">
        <v>8</v>
      </c>
      <c r="J10" s="116" t="s">
        <v>9</v>
      </c>
      <c r="K10" s="117" t="s">
        <v>359</v>
      </c>
      <c r="L10" s="117" t="s">
        <v>358</v>
      </c>
      <c r="M10" s="117" t="s">
        <v>357</v>
      </c>
      <c r="N10" s="117" t="s">
        <v>356</v>
      </c>
      <c r="O10" s="45" t="s">
        <v>322</v>
      </c>
      <c r="P10" s="47" t="s">
        <v>10</v>
      </c>
      <c r="Q10" s="47" t="s">
        <v>11</v>
      </c>
    </row>
    <row r="11" spans="1:18" s="104" customFormat="1" ht="12.75" customHeight="1" x14ac:dyDescent="0.25">
      <c r="A11" s="43">
        <v>1</v>
      </c>
      <c r="B11" s="43">
        <v>2</v>
      </c>
      <c r="C11" s="105">
        <v>3</v>
      </c>
      <c r="D11" s="43">
        <v>4</v>
      </c>
      <c r="E11" s="43">
        <v>5</v>
      </c>
      <c r="F11" s="43">
        <v>6</v>
      </c>
      <c r="G11" s="105">
        <v>7</v>
      </c>
      <c r="H11" s="43">
        <v>8</v>
      </c>
      <c r="I11" s="43">
        <v>9</v>
      </c>
      <c r="J11" s="105">
        <v>10</v>
      </c>
      <c r="K11" s="43">
        <v>11</v>
      </c>
      <c r="L11" s="43">
        <v>12</v>
      </c>
      <c r="M11" s="105">
        <v>13</v>
      </c>
      <c r="N11" s="43">
        <v>14</v>
      </c>
      <c r="O11" s="43">
        <v>15</v>
      </c>
      <c r="P11" s="43">
        <v>16</v>
      </c>
      <c r="Q11" s="43">
        <v>17</v>
      </c>
    </row>
    <row r="12" spans="1:18" ht="174.75" customHeight="1" x14ac:dyDescent="0.25">
      <c r="A12" s="47" t="s">
        <v>13</v>
      </c>
      <c r="B12" s="101" t="s">
        <v>355</v>
      </c>
      <c r="C12" s="47"/>
      <c r="D12" s="47"/>
      <c r="E12" s="47"/>
      <c r="F12" s="35"/>
      <c r="G12" s="68"/>
      <c r="H12" s="47" t="str">
        <f>A12</f>
        <v>I</v>
      </c>
      <c r="I12" s="101" t="str">
        <f>B12</f>
        <v>Организация и осуществление транспортного обслуживания должностных лиц, государственных органов и государственных учреждений Красноярского края, органов местного самоуправления и муниципальных учреждений Красноярского края, избирательных комиссий</v>
      </c>
      <c r="J12" s="27"/>
      <c r="K12" s="103"/>
      <c r="L12" s="103"/>
      <c r="M12" s="35"/>
      <c r="N12" s="100"/>
      <c r="O12" s="100"/>
      <c r="P12" s="47"/>
      <c r="Q12" s="557" t="s">
        <v>354</v>
      </c>
    </row>
    <row r="13" spans="1:18" ht="56.25" customHeight="1" x14ac:dyDescent="0.25">
      <c r="A13" s="27" t="s">
        <v>16</v>
      </c>
      <c r="B13" s="99" t="s">
        <v>353</v>
      </c>
      <c r="C13" s="27" t="s">
        <v>18</v>
      </c>
      <c r="D13" s="102">
        <v>100</v>
      </c>
      <c r="E13" s="27">
        <v>106.1</v>
      </c>
      <c r="F13" s="24">
        <f>IF(E13/D13*100&gt;100,100,E13/D13*100)</f>
        <v>100</v>
      </c>
      <c r="G13" s="27"/>
      <c r="H13" s="27" t="s">
        <v>16</v>
      </c>
      <c r="I13" s="99" t="s">
        <v>352</v>
      </c>
      <c r="J13" s="27" t="s">
        <v>334</v>
      </c>
      <c r="K13" s="98">
        <v>265054.75</v>
      </c>
      <c r="L13" s="98">
        <v>281205.75</v>
      </c>
      <c r="M13" s="24">
        <f>IF(L13/K13*100&gt;110,110,L13/K13*100)</f>
        <v>106.09345804970482</v>
      </c>
      <c r="N13" s="95"/>
      <c r="O13" s="19"/>
      <c r="P13" s="94"/>
      <c r="Q13" s="557"/>
    </row>
    <row r="14" spans="1:18" ht="74.25" customHeight="1" x14ac:dyDescent="0.25">
      <c r="A14" s="27" t="s">
        <v>21</v>
      </c>
      <c r="B14" s="99" t="s">
        <v>343</v>
      </c>
      <c r="C14" s="27" t="s">
        <v>18</v>
      </c>
      <c r="D14" s="102">
        <v>0</v>
      </c>
      <c r="E14" s="27">
        <v>0</v>
      </c>
      <c r="F14" s="24">
        <v>100</v>
      </c>
      <c r="G14" s="27"/>
      <c r="H14" s="27"/>
      <c r="I14" s="99"/>
      <c r="J14" s="27"/>
      <c r="K14" s="98"/>
      <c r="L14" s="98"/>
      <c r="M14" s="24"/>
      <c r="N14" s="95"/>
      <c r="O14" s="19"/>
      <c r="P14" s="94"/>
      <c r="Q14" s="557"/>
    </row>
    <row r="15" spans="1:18" ht="38.25" customHeight="1" x14ac:dyDescent="0.25">
      <c r="A15" s="22"/>
      <c r="B15" s="466" t="s">
        <v>645</v>
      </c>
      <c r="C15" s="22"/>
      <c r="D15" s="22"/>
      <c r="E15" s="22"/>
      <c r="F15" s="18"/>
      <c r="G15" s="18">
        <f>(F13+F14)/2</f>
        <v>100</v>
      </c>
      <c r="H15" s="20"/>
      <c r="I15" s="466" t="s">
        <v>645</v>
      </c>
      <c r="J15" s="20"/>
      <c r="K15" s="20"/>
      <c r="L15" s="20"/>
      <c r="M15" s="18"/>
      <c r="N15" s="18">
        <f>M13</f>
        <v>106.09345804970482</v>
      </c>
      <c r="O15" s="18">
        <f>(G15+N15)/2</f>
        <v>103.04672902485241</v>
      </c>
      <c r="P15" s="22" t="s">
        <v>342</v>
      </c>
      <c r="Q15" s="557"/>
    </row>
    <row r="16" spans="1:18" ht="61.5" customHeight="1" x14ac:dyDescent="0.25">
      <c r="A16" s="47" t="s">
        <v>26</v>
      </c>
      <c r="B16" s="101" t="s">
        <v>351</v>
      </c>
      <c r="C16" s="47"/>
      <c r="D16" s="47"/>
      <c r="E16" s="47"/>
      <c r="F16" s="35"/>
      <c r="G16" s="68"/>
      <c r="H16" s="47" t="s">
        <v>26</v>
      </c>
      <c r="I16" s="101" t="str">
        <f>B16</f>
        <v>Уборка территории и аналогичная деятельность</v>
      </c>
      <c r="J16" s="27"/>
      <c r="K16" s="98"/>
      <c r="L16" s="98"/>
      <c r="M16" s="35"/>
      <c r="N16" s="100"/>
      <c r="O16" s="100"/>
      <c r="P16" s="47"/>
      <c r="Q16" s="557"/>
    </row>
    <row r="17" spans="1:17" ht="53.25" customHeight="1" x14ac:dyDescent="0.25">
      <c r="A17" s="27" t="s">
        <v>28</v>
      </c>
      <c r="B17" s="99" t="s">
        <v>350</v>
      </c>
      <c r="C17" s="27" t="s">
        <v>18</v>
      </c>
      <c r="D17" s="27" t="s">
        <v>349</v>
      </c>
      <c r="E17" s="27">
        <v>74.8</v>
      </c>
      <c r="F17" s="24">
        <v>100</v>
      </c>
      <c r="G17" s="27"/>
      <c r="H17" s="27" t="s">
        <v>28</v>
      </c>
      <c r="I17" s="99" t="s">
        <v>348</v>
      </c>
      <c r="J17" s="27" t="s">
        <v>347</v>
      </c>
      <c r="K17" s="98">
        <v>9831445.4000000004</v>
      </c>
      <c r="L17" s="98">
        <v>10506120.199999999</v>
      </c>
      <c r="M17" s="24">
        <f>IF(L17/K17*100&gt;110,110,L17/K17*100)</f>
        <v>106.8624171985942</v>
      </c>
      <c r="N17" s="95"/>
      <c r="O17" s="19"/>
      <c r="P17" s="94"/>
      <c r="Q17" s="557"/>
    </row>
    <row r="18" spans="1:17" ht="72" customHeight="1" x14ac:dyDescent="0.25">
      <c r="A18" s="27" t="s">
        <v>30</v>
      </c>
      <c r="B18" s="99" t="s">
        <v>346</v>
      </c>
      <c r="C18" s="30" t="s">
        <v>18</v>
      </c>
      <c r="D18" s="27" t="s">
        <v>345</v>
      </c>
      <c r="E18" s="27">
        <v>40.299999999999997</v>
      </c>
      <c r="F18" s="24">
        <v>100</v>
      </c>
      <c r="G18" s="27"/>
      <c r="H18" s="27"/>
      <c r="I18" s="99"/>
      <c r="J18" s="27"/>
      <c r="K18" s="98"/>
      <c r="L18" s="98"/>
      <c r="M18" s="24"/>
      <c r="N18" s="95"/>
      <c r="O18" s="19"/>
      <c r="P18" s="94"/>
      <c r="Q18" s="557"/>
    </row>
    <row r="19" spans="1:17" ht="83.25" customHeight="1" x14ac:dyDescent="0.25">
      <c r="A19" s="33" t="s">
        <v>344</v>
      </c>
      <c r="B19" s="97" t="s">
        <v>343</v>
      </c>
      <c r="C19" s="33" t="s">
        <v>163</v>
      </c>
      <c r="D19" s="33">
        <v>0</v>
      </c>
      <c r="E19" s="33">
        <v>0</v>
      </c>
      <c r="F19" s="24">
        <v>100</v>
      </c>
      <c r="G19" s="27"/>
      <c r="H19" s="27"/>
      <c r="I19" s="41"/>
      <c r="J19" s="19"/>
      <c r="K19" s="96"/>
      <c r="L19" s="96"/>
      <c r="M19" s="24"/>
      <c r="N19" s="95"/>
      <c r="O19" s="19"/>
      <c r="P19" s="94"/>
      <c r="Q19" s="557"/>
    </row>
    <row r="20" spans="1:17" ht="38.25" customHeight="1" x14ac:dyDescent="0.25">
      <c r="A20" s="22"/>
      <c r="B20" s="466" t="s">
        <v>645</v>
      </c>
      <c r="C20" s="22"/>
      <c r="D20" s="22"/>
      <c r="E20" s="22"/>
      <c r="F20" s="18"/>
      <c r="G20" s="18">
        <f>(F17+F18+F19)/3</f>
        <v>100</v>
      </c>
      <c r="H20" s="20"/>
      <c r="I20" s="466" t="s">
        <v>645</v>
      </c>
      <c r="J20" s="20"/>
      <c r="K20" s="20"/>
      <c r="L20" s="20"/>
      <c r="M20" s="18"/>
      <c r="N20" s="18">
        <f>M17</f>
        <v>106.8624171985942</v>
      </c>
      <c r="O20" s="18">
        <f>(G20+N20)/2</f>
        <v>103.43120859929709</v>
      </c>
      <c r="P20" s="22" t="s">
        <v>342</v>
      </c>
      <c r="Q20" s="557"/>
    </row>
    <row r="21" spans="1:17" ht="16.5" x14ac:dyDescent="0.25">
      <c r="A21" s="91"/>
      <c r="B21" s="92"/>
      <c r="C21" s="91"/>
      <c r="D21" s="91"/>
      <c r="E21" s="91"/>
      <c r="F21" s="91"/>
      <c r="G21" s="91"/>
      <c r="H21" s="91"/>
      <c r="I21" s="92"/>
      <c r="J21" s="91"/>
      <c r="K21" s="91"/>
      <c r="L21" s="91"/>
      <c r="M21" s="93"/>
      <c r="N21" s="91"/>
      <c r="O21" s="91"/>
      <c r="P21" s="91"/>
      <c r="Q21" s="113"/>
    </row>
    <row r="22" spans="1:17" ht="16.5" x14ac:dyDescent="0.25">
      <c r="A22" s="91"/>
      <c r="B22" s="92"/>
      <c r="C22" s="91"/>
      <c r="D22" s="91"/>
      <c r="E22" s="91"/>
      <c r="F22" s="91"/>
      <c r="G22" s="91"/>
      <c r="H22" s="91"/>
      <c r="I22" s="92"/>
      <c r="J22" s="91"/>
      <c r="K22" s="91"/>
      <c r="L22" s="91"/>
      <c r="M22" s="91"/>
      <c r="N22" s="91"/>
      <c r="O22" s="91"/>
      <c r="P22" s="91"/>
      <c r="Q22" s="113"/>
    </row>
    <row r="23" spans="1:17" ht="16.5" x14ac:dyDescent="0.25">
      <c r="A23" s="91"/>
      <c r="B23" s="92"/>
      <c r="C23" s="91"/>
      <c r="D23" s="91"/>
      <c r="E23" s="91"/>
      <c r="F23" s="91"/>
      <c r="G23" s="91"/>
      <c r="H23" s="91"/>
      <c r="I23" s="92"/>
      <c r="J23" s="91"/>
      <c r="K23" s="91"/>
      <c r="L23" s="91"/>
      <c r="M23" s="91"/>
      <c r="N23" s="91"/>
      <c r="O23" s="91"/>
      <c r="P23" s="91"/>
      <c r="Q23" s="113"/>
    </row>
    <row r="24" spans="1:17" ht="16.5" x14ac:dyDescent="0.25">
      <c r="A24" s="91"/>
      <c r="B24" s="92"/>
      <c r="C24" s="91"/>
      <c r="D24" s="91"/>
      <c r="E24" s="91"/>
      <c r="F24" s="91"/>
      <c r="G24" s="91"/>
      <c r="H24" s="91"/>
      <c r="I24" s="92"/>
      <c r="J24" s="91"/>
      <c r="K24" s="91"/>
      <c r="L24" s="91"/>
      <c r="M24" s="91"/>
      <c r="N24" s="91"/>
      <c r="O24" s="91"/>
      <c r="P24" s="91"/>
      <c r="Q24" s="114"/>
    </row>
    <row r="25" spans="1:17" x14ac:dyDescent="0.25">
      <c r="A25" s="91"/>
      <c r="B25" s="92"/>
      <c r="C25" s="91"/>
      <c r="D25" s="91"/>
      <c r="E25" s="91"/>
      <c r="F25" s="91"/>
      <c r="G25" s="91"/>
      <c r="H25" s="91"/>
      <c r="I25" s="92"/>
      <c r="J25" s="91"/>
      <c r="K25" s="91"/>
      <c r="L25" s="91"/>
      <c r="M25" s="91"/>
      <c r="N25" s="91"/>
      <c r="O25" s="91"/>
      <c r="P25" s="91"/>
      <c r="Q25" s="90"/>
    </row>
  </sheetData>
  <mergeCells count="10">
    <mergeCell ref="B9:G9"/>
    <mergeCell ref="H9:N9"/>
    <mergeCell ref="O9:Q9"/>
    <mergeCell ref="Q12:Q20"/>
    <mergeCell ref="B2:Q2"/>
    <mergeCell ref="B3:Q3"/>
    <mergeCell ref="B4:Q4"/>
    <mergeCell ref="B5:Q5"/>
    <mergeCell ref="B6:Q6"/>
    <mergeCell ref="B8:Q8"/>
  </mergeCells>
  <printOptions horizontalCentered="1"/>
  <pageMargins left="0.11811023622047245" right="0.31496062992125984" top="0.35433070866141736" bottom="0.15748031496062992" header="0.31496062992125984" footer="0.31496062992125984"/>
  <pageSetup paperSize="9" scale="43" fitToHeight="0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8"/>
  <sheetViews>
    <sheetView view="pageBreakPreview" zoomScale="55" zoomScaleNormal="70" zoomScaleSheetLayoutView="55" workbookViewId="0">
      <pane xSplit="1" ySplit="1" topLeftCell="B2" activePane="bottomRight" state="frozen"/>
      <selection pane="topRight" activeCell="C1" sqref="C1"/>
      <selection pane="bottomLeft" activeCell="A17" sqref="A17"/>
      <selection pane="bottomRight" activeCell="M21" sqref="M21"/>
    </sheetView>
  </sheetViews>
  <sheetFormatPr defaultRowHeight="15" x14ac:dyDescent="0.25"/>
  <cols>
    <col min="1" max="1" width="13" customWidth="1"/>
    <col min="2" max="2" width="36.42578125" customWidth="1"/>
    <col min="3" max="3" width="18.85546875" customWidth="1"/>
    <col min="4" max="7" width="13.7109375" customWidth="1"/>
    <col min="8" max="8" width="10.7109375" customWidth="1"/>
    <col min="9" max="9" width="43.85546875" customWidth="1"/>
    <col min="10" max="10" width="20.5703125" customWidth="1"/>
    <col min="11" max="11" width="15" customWidth="1"/>
    <col min="12" max="12" width="12.42578125" customWidth="1"/>
    <col min="13" max="13" width="12.5703125" customWidth="1"/>
    <col min="14" max="14" width="13.42578125" customWidth="1"/>
    <col min="15" max="15" width="19.140625" customWidth="1"/>
    <col min="16" max="16" width="20.5703125" customWidth="1"/>
    <col min="17" max="17" width="19.85546875" customWidth="1"/>
  </cols>
  <sheetData>
    <row r="1" spans="1:17" ht="16.5" x14ac:dyDescent="0.25">
      <c r="A1" s="558" t="s">
        <v>0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</row>
    <row r="2" spans="1:17" ht="16.5" customHeight="1" x14ac:dyDescent="0.25">
      <c r="A2" s="558" t="s">
        <v>333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</row>
    <row r="3" spans="1:17" ht="18.75" customHeight="1" x14ac:dyDescent="0.25">
      <c r="A3" s="566" t="s">
        <v>606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  <c r="O3" s="566"/>
      <c r="P3" s="566"/>
      <c r="Q3" s="566"/>
    </row>
    <row r="4" spans="1:17" ht="16.5" customHeight="1" x14ac:dyDescent="0.25">
      <c r="A4" s="558" t="s">
        <v>331</v>
      </c>
      <c r="B4" s="558"/>
      <c r="C4" s="558"/>
      <c r="D4" s="558"/>
      <c r="E4" s="558"/>
      <c r="F4" s="558"/>
      <c r="G4" s="558"/>
      <c r="H4" s="558"/>
      <c r="I4" s="558"/>
      <c r="J4" s="558"/>
      <c r="K4" s="558"/>
      <c r="L4" s="558"/>
      <c r="M4" s="558"/>
      <c r="N4" s="558"/>
      <c r="O4" s="558"/>
      <c r="P4" s="558"/>
      <c r="Q4" s="558"/>
    </row>
    <row r="5" spans="1:17" ht="16.5" x14ac:dyDescent="0.25">
      <c r="A5" s="558" t="s">
        <v>271</v>
      </c>
      <c r="B5" s="558"/>
      <c r="C5" s="558"/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8"/>
      <c r="P5" s="558"/>
      <c r="Q5" s="558"/>
    </row>
    <row r="6" spans="1:17" ht="16.5" x14ac:dyDescent="0.25">
      <c r="A6" s="423"/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2"/>
    </row>
    <row r="7" spans="1:17" ht="33" customHeight="1" x14ac:dyDescent="0.25">
      <c r="A7" s="560" t="s">
        <v>4</v>
      </c>
      <c r="B7" s="560"/>
      <c r="C7" s="560"/>
      <c r="D7" s="560"/>
      <c r="E7" s="560"/>
      <c r="F7" s="560"/>
      <c r="G7" s="560"/>
      <c r="H7" s="560"/>
      <c r="I7" s="560"/>
      <c r="J7" s="560"/>
      <c r="K7" s="560"/>
      <c r="L7" s="560"/>
      <c r="M7" s="560"/>
      <c r="N7" s="560"/>
      <c r="O7" s="560"/>
      <c r="P7" s="560"/>
      <c r="Q7" s="560"/>
    </row>
    <row r="8" spans="1:17" ht="41.25" customHeight="1" x14ac:dyDescent="0.25">
      <c r="A8" s="424"/>
      <c r="B8" s="560" t="s">
        <v>5</v>
      </c>
      <c r="C8" s="560"/>
      <c r="D8" s="560"/>
      <c r="E8" s="560"/>
      <c r="F8" s="560"/>
      <c r="G8" s="560"/>
      <c r="H8" s="560" t="s">
        <v>6</v>
      </c>
      <c r="I8" s="562"/>
      <c r="J8" s="562"/>
      <c r="K8" s="562"/>
      <c r="L8" s="562"/>
      <c r="M8" s="562"/>
      <c r="N8" s="562"/>
      <c r="O8" s="560" t="s">
        <v>7</v>
      </c>
      <c r="P8" s="560"/>
      <c r="Q8" s="561"/>
    </row>
    <row r="9" spans="1:17" ht="99" customHeight="1" x14ac:dyDescent="0.25">
      <c r="A9" s="424" t="s">
        <v>3</v>
      </c>
      <c r="B9" s="424" t="s">
        <v>8</v>
      </c>
      <c r="C9" s="424" t="s">
        <v>9</v>
      </c>
      <c r="D9" s="45" t="s">
        <v>330</v>
      </c>
      <c r="E9" s="45" t="s">
        <v>329</v>
      </c>
      <c r="F9" s="45" t="s">
        <v>328</v>
      </c>
      <c r="G9" s="45" t="s">
        <v>327</v>
      </c>
      <c r="H9" s="424" t="s">
        <v>3</v>
      </c>
      <c r="I9" s="424" t="s">
        <v>8</v>
      </c>
      <c r="J9" s="424" t="s">
        <v>9</v>
      </c>
      <c r="K9" s="45" t="s">
        <v>326</v>
      </c>
      <c r="L9" s="45" t="s">
        <v>325</v>
      </c>
      <c r="M9" s="45" t="s">
        <v>324</v>
      </c>
      <c r="N9" s="45" t="s">
        <v>323</v>
      </c>
      <c r="O9" s="45" t="s">
        <v>322</v>
      </c>
      <c r="P9" s="424" t="s">
        <v>10</v>
      </c>
      <c r="Q9" s="424" t="s">
        <v>11</v>
      </c>
    </row>
    <row r="10" spans="1:17" x14ac:dyDescent="0.25">
      <c r="A10" s="43">
        <v>1</v>
      </c>
      <c r="B10" s="43">
        <v>2</v>
      </c>
      <c r="C10" s="43">
        <v>3</v>
      </c>
      <c r="D10" s="43">
        <v>4</v>
      </c>
      <c r="E10" s="43">
        <v>5</v>
      </c>
      <c r="F10" s="43">
        <v>6</v>
      </c>
      <c r="G10" s="43">
        <v>7</v>
      </c>
      <c r="H10" s="43">
        <v>8</v>
      </c>
      <c r="I10" s="43">
        <v>9</v>
      </c>
      <c r="J10" s="43">
        <v>10</v>
      </c>
      <c r="K10" s="43">
        <v>11</v>
      </c>
      <c r="L10" s="43">
        <v>12</v>
      </c>
      <c r="M10" s="43">
        <v>13</v>
      </c>
      <c r="N10" s="43">
        <v>14</v>
      </c>
      <c r="O10" s="43">
        <v>15</v>
      </c>
      <c r="P10" s="43">
        <v>16</v>
      </c>
      <c r="Q10" s="43">
        <v>17</v>
      </c>
    </row>
    <row r="11" spans="1:17" ht="66" customHeight="1" x14ac:dyDescent="0.25">
      <c r="A11" s="424" t="s">
        <v>13</v>
      </c>
      <c r="B11" s="36" t="s">
        <v>130</v>
      </c>
      <c r="C11" s="424"/>
      <c r="D11" s="424"/>
      <c r="E11" s="424"/>
      <c r="F11" s="35"/>
      <c r="G11" s="68"/>
      <c r="H11" s="424" t="s">
        <v>13</v>
      </c>
      <c r="I11" s="59" t="str">
        <f>B11</f>
        <v>Реализация дополнительных общеразвивающих программ</v>
      </c>
      <c r="J11" s="421"/>
      <c r="K11" s="19"/>
      <c r="L11" s="19"/>
      <c r="M11" s="35"/>
      <c r="N11" s="35"/>
      <c r="O11" s="419"/>
      <c r="P11" s="70"/>
      <c r="Q11" s="563" t="s">
        <v>104</v>
      </c>
    </row>
    <row r="12" spans="1:17" ht="74.25" customHeight="1" x14ac:dyDescent="0.25">
      <c r="A12" s="27" t="s">
        <v>16</v>
      </c>
      <c r="B12" s="161" t="s">
        <v>605</v>
      </c>
      <c r="C12" s="339" t="s">
        <v>176</v>
      </c>
      <c r="D12" s="345" t="s">
        <v>604</v>
      </c>
      <c r="E12" s="340">
        <v>95</v>
      </c>
      <c r="F12" s="444">
        <v>100</v>
      </c>
      <c r="G12" s="27"/>
      <c r="H12" s="27" t="s">
        <v>16</v>
      </c>
      <c r="I12" s="161" t="s">
        <v>600</v>
      </c>
      <c r="J12" s="339" t="s">
        <v>414</v>
      </c>
      <c r="K12" s="346">
        <v>50160</v>
      </c>
      <c r="L12" s="343">
        <v>48910</v>
      </c>
      <c r="M12" s="420">
        <f>IF(L12/K12*100&gt;110,110,L12/K12*100)</f>
        <v>97.507974481658692</v>
      </c>
      <c r="N12" s="35"/>
      <c r="O12" s="419"/>
      <c r="P12" s="347"/>
      <c r="Q12" s="563"/>
    </row>
    <row r="13" spans="1:17" ht="100.5" customHeight="1" x14ac:dyDescent="0.25">
      <c r="A13" s="27" t="s">
        <v>21</v>
      </c>
      <c r="B13" s="161" t="s">
        <v>128</v>
      </c>
      <c r="C13" s="339" t="s">
        <v>176</v>
      </c>
      <c r="D13" s="348" t="s">
        <v>604</v>
      </c>
      <c r="E13" s="340">
        <v>100</v>
      </c>
      <c r="F13" s="24">
        <v>100</v>
      </c>
      <c r="G13" s="27"/>
      <c r="H13" s="27"/>
      <c r="I13" s="41"/>
      <c r="J13" s="339"/>
      <c r="K13" s="346"/>
      <c r="L13" s="343"/>
      <c r="M13" s="420"/>
      <c r="N13" s="35"/>
      <c r="O13" s="419"/>
      <c r="P13" s="347"/>
      <c r="Q13" s="563"/>
    </row>
    <row r="14" spans="1:17" s="334" customFormat="1" ht="33" x14ac:dyDescent="0.25">
      <c r="A14" s="20"/>
      <c r="B14" s="466" t="s">
        <v>645</v>
      </c>
      <c r="C14" s="20"/>
      <c r="D14" s="84"/>
      <c r="E14" s="85"/>
      <c r="F14" s="18"/>
      <c r="G14" s="18">
        <f>(F13+F12)/2</f>
        <v>100</v>
      </c>
      <c r="H14" s="426"/>
      <c r="I14" s="466" t="s">
        <v>645</v>
      </c>
      <c r="J14" s="426"/>
      <c r="K14" s="426"/>
      <c r="L14" s="426"/>
      <c r="M14" s="18"/>
      <c r="N14" s="18">
        <f>M12</f>
        <v>97.507974481658692</v>
      </c>
      <c r="O14" s="18">
        <f>(G14+N14)/2</f>
        <v>98.753987240829346</v>
      </c>
      <c r="P14" s="18" t="s">
        <v>112</v>
      </c>
      <c r="Q14" s="563"/>
    </row>
    <row r="15" spans="1:17" ht="148.5" x14ac:dyDescent="0.25">
      <c r="A15" s="424" t="s">
        <v>26</v>
      </c>
      <c r="B15" s="36" t="s">
        <v>603</v>
      </c>
      <c r="C15" s="424"/>
      <c r="D15" s="424"/>
      <c r="E15" s="424"/>
      <c r="F15" s="35"/>
      <c r="G15" s="68"/>
      <c r="H15" s="424" t="str">
        <f>A15</f>
        <v>II</v>
      </c>
      <c r="I15" s="59" t="str">
        <f>B15</f>
        <v>Реализация основных профессиональных образовательных программ профессионального обучения – программ профессиональной подготовки по профессиям рабочих, должностям служащих</v>
      </c>
      <c r="J15" s="421"/>
      <c r="K15" s="19"/>
      <c r="L15" s="19"/>
      <c r="M15" s="35"/>
      <c r="N15" s="35"/>
      <c r="O15" s="419"/>
      <c r="P15" s="337"/>
      <c r="Q15" s="563"/>
    </row>
    <row r="16" spans="1:17" ht="117.75" customHeight="1" x14ac:dyDescent="0.3">
      <c r="A16" s="27" t="s">
        <v>28</v>
      </c>
      <c r="B16" s="338" t="s">
        <v>602</v>
      </c>
      <c r="C16" s="339" t="s">
        <v>176</v>
      </c>
      <c r="D16" s="162" t="s">
        <v>601</v>
      </c>
      <c r="E16" s="340">
        <v>91</v>
      </c>
      <c r="F16" s="24">
        <v>100</v>
      </c>
      <c r="G16" s="27"/>
      <c r="H16" s="27" t="str">
        <f>A16</f>
        <v>2.1.</v>
      </c>
      <c r="I16" s="341" t="s">
        <v>600</v>
      </c>
      <c r="J16" s="425" t="s">
        <v>414</v>
      </c>
      <c r="K16" s="342">
        <v>36480</v>
      </c>
      <c r="L16" s="343">
        <v>33420</v>
      </c>
      <c r="M16" s="420">
        <f>IF(L16/K16*100&gt;110,110,L16/K16*100)</f>
        <v>91.61184210526315</v>
      </c>
      <c r="N16" s="35"/>
      <c r="O16" s="419"/>
      <c r="P16" s="344"/>
      <c r="Q16" s="563"/>
    </row>
    <row r="17" spans="1:17" ht="82.5" x14ac:dyDescent="0.3">
      <c r="A17" s="27" t="s">
        <v>30</v>
      </c>
      <c r="B17" s="161" t="s">
        <v>128</v>
      </c>
      <c r="C17" s="339" t="s">
        <v>176</v>
      </c>
      <c r="D17" s="162" t="s">
        <v>601</v>
      </c>
      <c r="E17" s="340">
        <v>100</v>
      </c>
      <c r="F17" s="24">
        <v>100</v>
      </c>
      <c r="G17" s="27"/>
      <c r="H17" s="27"/>
      <c r="I17" s="41"/>
      <c r="J17" s="339"/>
      <c r="K17" s="342"/>
      <c r="L17" s="343"/>
      <c r="M17" s="420"/>
      <c r="N17" s="35"/>
      <c r="O17" s="419"/>
      <c r="P17" s="344"/>
      <c r="Q17" s="563"/>
    </row>
    <row r="18" spans="1:17" s="334" customFormat="1" ht="33" x14ac:dyDescent="0.25">
      <c r="A18" s="20"/>
      <c r="B18" s="466" t="s">
        <v>645</v>
      </c>
      <c r="C18" s="20"/>
      <c r="D18" s="84"/>
      <c r="E18" s="85"/>
      <c r="F18" s="18"/>
      <c r="G18" s="18">
        <f>(F17+F16)/2</f>
        <v>100</v>
      </c>
      <c r="H18" s="426"/>
      <c r="I18" s="466" t="s">
        <v>645</v>
      </c>
      <c r="J18" s="336"/>
      <c r="K18" s="336"/>
      <c r="L18" s="336"/>
      <c r="M18" s="335"/>
      <c r="N18" s="335">
        <f>M16</f>
        <v>91.61184210526315</v>
      </c>
      <c r="O18" s="335">
        <f>(G18+N18)/2</f>
        <v>95.805921052631575</v>
      </c>
      <c r="P18" s="18" t="s">
        <v>112</v>
      </c>
      <c r="Q18" s="563"/>
    </row>
  </sheetData>
  <mergeCells count="10">
    <mergeCell ref="B8:G8"/>
    <mergeCell ref="H8:N8"/>
    <mergeCell ref="O8:Q8"/>
    <mergeCell ref="Q11:Q18"/>
    <mergeCell ref="A1:Q1"/>
    <mergeCell ref="A2:Q2"/>
    <mergeCell ref="A3:Q3"/>
    <mergeCell ref="A4:Q4"/>
    <mergeCell ref="A5:Q5"/>
    <mergeCell ref="A7:Q7"/>
  </mergeCells>
  <printOptions horizontalCentered="1"/>
  <pageMargins left="0.19685039370078741" right="0.19685039370078741" top="0.43307086614173229" bottom="0.43307086614173229" header="0.31496062992125984" footer="0.31496062992125984"/>
  <pageSetup paperSize="9" scale="4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1779"/>
  <sheetViews>
    <sheetView view="pageBreakPreview" topLeftCell="E1" zoomScale="55" zoomScaleNormal="10" zoomScaleSheetLayoutView="55" workbookViewId="0">
      <pane ySplit="10" topLeftCell="A1531" activePane="bottomLeft" state="frozen"/>
      <selection pane="bottomLeft" activeCell="AJ1771" sqref="AJ1771"/>
    </sheetView>
  </sheetViews>
  <sheetFormatPr defaultRowHeight="23.25" x14ac:dyDescent="0.35"/>
  <cols>
    <col min="1" max="1" width="13.7109375" style="218" customWidth="1"/>
    <col min="2" max="2" width="32.5703125" style="225" customWidth="1"/>
    <col min="3" max="3" width="12.28515625" style="226" customWidth="1"/>
    <col min="4" max="4" width="70.85546875" style="227" customWidth="1"/>
    <col min="5" max="5" width="21.42578125" style="226" customWidth="1"/>
    <col min="6" max="6" width="18.5703125" style="226" customWidth="1"/>
    <col min="7" max="7" width="12.5703125" style="226" customWidth="1"/>
    <col min="8" max="9" width="15.85546875" style="226" customWidth="1"/>
    <col min="10" max="10" width="12.5703125" style="226" customWidth="1"/>
    <col min="11" max="11" width="60.5703125" style="227" customWidth="1"/>
    <col min="12" max="12" width="18.42578125" style="226" customWidth="1"/>
    <col min="13" max="14" width="21" style="228" customWidth="1"/>
    <col min="15" max="15" width="17.42578125" style="226" customWidth="1"/>
    <col min="16" max="16" width="18.42578125" style="226" customWidth="1"/>
    <col min="17" max="17" width="19.85546875" style="226" customWidth="1"/>
    <col min="18" max="18" width="39.140625" style="203" customWidth="1"/>
    <col min="19" max="19" width="35.5703125" style="453" customWidth="1"/>
    <col min="20" max="20" width="17.28515625" style="223" customWidth="1"/>
    <col min="21" max="21" width="22.140625" style="3" customWidth="1"/>
    <col min="22" max="22" width="9.140625" style="3"/>
    <col min="23" max="23" width="16.28515625" style="3" customWidth="1"/>
    <col min="24" max="16384" width="9.140625" style="3"/>
  </cols>
  <sheetData>
    <row r="1" spans="1:21" s="1" customFormat="1" x14ac:dyDescent="0.35">
      <c r="A1" s="198"/>
      <c r="B1" s="199"/>
      <c r="C1" s="200"/>
      <c r="D1" s="201"/>
      <c r="E1" s="200"/>
      <c r="F1" s="200"/>
      <c r="G1" s="200"/>
      <c r="H1" s="200"/>
      <c r="I1" s="200"/>
      <c r="J1" s="200"/>
      <c r="K1" s="201"/>
      <c r="L1" s="200"/>
      <c r="M1" s="202"/>
      <c r="N1" s="202"/>
      <c r="O1" s="200"/>
      <c r="P1" s="200"/>
      <c r="Q1" s="200"/>
      <c r="R1" s="203"/>
      <c r="S1" s="453"/>
      <c r="T1" s="2"/>
    </row>
    <row r="2" spans="1:21" s="200" customFormat="1" ht="23.25" customHeight="1" x14ac:dyDescent="0.35">
      <c r="A2" s="198"/>
      <c r="B2" s="595" t="s">
        <v>0</v>
      </c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204"/>
      <c r="S2" s="224"/>
      <c r="T2" s="205"/>
    </row>
    <row r="3" spans="1:21" s="200" customFormat="1" ht="23.25" customHeight="1" x14ac:dyDescent="0.35">
      <c r="A3" s="198"/>
      <c r="B3" s="596" t="s">
        <v>1</v>
      </c>
      <c r="C3" s="597"/>
      <c r="D3" s="597"/>
      <c r="E3" s="597"/>
      <c r="F3" s="597"/>
      <c r="G3" s="597"/>
      <c r="H3" s="597"/>
      <c r="I3" s="597"/>
      <c r="J3" s="597"/>
      <c r="K3" s="597"/>
      <c r="L3" s="597"/>
      <c r="M3" s="597"/>
      <c r="N3" s="597"/>
      <c r="O3" s="597"/>
      <c r="P3" s="597"/>
      <c r="Q3" s="598"/>
      <c r="R3" s="206"/>
      <c r="S3" s="224"/>
      <c r="T3" s="205"/>
    </row>
    <row r="4" spans="1:21" s="200" customFormat="1" ht="23.25" customHeight="1" x14ac:dyDescent="0.35">
      <c r="A4" s="198"/>
      <c r="B4" s="599" t="s">
        <v>2</v>
      </c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204"/>
      <c r="S4" s="224"/>
      <c r="T4" s="205"/>
    </row>
    <row r="5" spans="1:21" s="200" customFormat="1" ht="23.25" customHeight="1" x14ac:dyDescent="0.35">
      <c r="A5" s="198"/>
      <c r="B5" s="600" t="s">
        <v>271</v>
      </c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207"/>
      <c r="S5" s="224"/>
      <c r="T5" s="205"/>
    </row>
    <row r="6" spans="1:21" s="200" customFormat="1" ht="23.25" customHeight="1" x14ac:dyDescent="0.35">
      <c r="A6" s="198"/>
      <c r="B6" s="595"/>
      <c r="C6" s="595"/>
      <c r="D6" s="595"/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595"/>
      <c r="Q6" s="595"/>
      <c r="R6" s="208"/>
      <c r="S6" s="224"/>
      <c r="T6" s="205"/>
    </row>
    <row r="7" spans="1:21" s="1" customFormat="1" x14ac:dyDescent="0.35">
      <c r="A7" s="198"/>
      <c r="B7" s="350"/>
      <c r="C7" s="209"/>
      <c r="D7" s="210"/>
      <c r="E7" s="209"/>
      <c r="F7" s="211"/>
      <c r="G7" s="209"/>
      <c r="H7" s="209"/>
      <c r="I7" s="209"/>
      <c r="J7" s="209"/>
      <c r="K7" s="210"/>
      <c r="L7" s="209"/>
      <c r="M7" s="209"/>
      <c r="N7" s="209"/>
      <c r="O7" s="209"/>
      <c r="P7" s="209"/>
      <c r="Q7" s="209"/>
      <c r="R7" s="208"/>
      <c r="S7" s="453"/>
      <c r="T7" s="2"/>
    </row>
    <row r="8" spans="1:21" s="1" customFormat="1" ht="45.75" customHeight="1" x14ac:dyDescent="0.35">
      <c r="A8" s="541" t="s">
        <v>3</v>
      </c>
      <c r="B8" s="541" t="s">
        <v>3</v>
      </c>
      <c r="C8" s="454"/>
      <c r="D8" s="541" t="s">
        <v>4</v>
      </c>
      <c r="E8" s="541"/>
      <c r="F8" s="541"/>
      <c r="G8" s="541"/>
      <c r="H8" s="541"/>
      <c r="I8" s="541"/>
      <c r="J8" s="541"/>
      <c r="K8" s="541"/>
      <c r="L8" s="541"/>
      <c r="M8" s="541"/>
      <c r="N8" s="541"/>
      <c r="O8" s="541"/>
      <c r="P8" s="541"/>
      <c r="Q8" s="541"/>
      <c r="R8" s="541"/>
      <c r="S8" s="541"/>
      <c r="T8" s="2"/>
    </row>
    <row r="9" spans="1:21" s="1" customFormat="1" ht="53.25" customHeight="1" x14ac:dyDescent="0.35">
      <c r="A9" s="541"/>
      <c r="B9" s="541"/>
      <c r="C9" s="454"/>
      <c r="D9" s="541" t="s">
        <v>5</v>
      </c>
      <c r="E9" s="541"/>
      <c r="F9" s="541"/>
      <c r="G9" s="541"/>
      <c r="H9" s="541"/>
      <c r="I9" s="541"/>
      <c r="J9" s="541" t="s">
        <v>6</v>
      </c>
      <c r="K9" s="541"/>
      <c r="L9" s="541"/>
      <c r="M9" s="541"/>
      <c r="N9" s="541"/>
      <c r="O9" s="541"/>
      <c r="P9" s="541"/>
      <c r="Q9" s="541" t="s">
        <v>7</v>
      </c>
      <c r="R9" s="541"/>
      <c r="S9" s="542"/>
      <c r="T9" s="2"/>
    </row>
    <row r="10" spans="1:21" s="1" customFormat="1" ht="131.25" customHeight="1" x14ac:dyDescent="0.35">
      <c r="A10" s="541"/>
      <c r="B10" s="541"/>
      <c r="C10" s="454" t="s">
        <v>3</v>
      </c>
      <c r="D10" s="41" t="s">
        <v>8</v>
      </c>
      <c r="E10" s="454" t="s">
        <v>9</v>
      </c>
      <c r="F10" s="46" t="s">
        <v>330</v>
      </c>
      <c r="G10" s="46" t="s">
        <v>329</v>
      </c>
      <c r="H10" s="46" t="s">
        <v>328</v>
      </c>
      <c r="I10" s="46" t="s">
        <v>327</v>
      </c>
      <c r="J10" s="454" t="s">
        <v>3</v>
      </c>
      <c r="K10" s="59" t="s">
        <v>8</v>
      </c>
      <c r="L10" s="454" t="s">
        <v>9</v>
      </c>
      <c r="M10" s="474" t="s">
        <v>326</v>
      </c>
      <c r="N10" s="474" t="s">
        <v>325</v>
      </c>
      <c r="O10" s="46" t="s">
        <v>324</v>
      </c>
      <c r="P10" s="46" t="s">
        <v>323</v>
      </c>
      <c r="Q10" s="46" t="s">
        <v>322</v>
      </c>
      <c r="R10" s="454" t="s">
        <v>10</v>
      </c>
      <c r="S10" s="454" t="s">
        <v>11</v>
      </c>
      <c r="T10" s="2"/>
    </row>
    <row r="11" spans="1:21" s="213" customFormat="1" ht="21.75" customHeight="1" x14ac:dyDescent="0.25">
      <c r="A11" s="475">
        <v>1</v>
      </c>
      <c r="B11" s="19">
        <v>2</v>
      </c>
      <c r="C11" s="19">
        <v>3</v>
      </c>
      <c r="D11" s="475">
        <v>4</v>
      </c>
      <c r="E11" s="19">
        <v>5</v>
      </c>
      <c r="F11" s="19">
        <v>6</v>
      </c>
      <c r="G11" s="475">
        <v>7</v>
      </c>
      <c r="H11" s="19">
        <v>8</v>
      </c>
      <c r="I11" s="19">
        <v>9</v>
      </c>
      <c r="J11" s="19">
        <v>10</v>
      </c>
      <c r="K11" s="19">
        <v>11</v>
      </c>
      <c r="L11" s="475">
        <v>12</v>
      </c>
      <c r="M11" s="19">
        <v>13</v>
      </c>
      <c r="N11" s="19">
        <v>14</v>
      </c>
      <c r="O11" s="19">
        <v>15</v>
      </c>
      <c r="P11" s="475">
        <v>16</v>
      </c>
      <c r="Q11" s="475">
        <v>17</v>
      </c>
      <c r="R11" s="19">
        <v>18</v>
      </c>
      <c r="S11" s="19">
        <v>19</v>
      </c>
      <c r="T11" s="212"/>
    </row>
    <row r="12" spans="1:21" s="1" customFormat="1" ht="100.5" customHeight="1" x14ac:dyDescent="0.35">
      <c r="A12" s="567">
        <v>1</v>
      </c>
      <c r="B12" s="571" t="s">
        <v>12</v>
      </c>
      <c r="C12" s="454" t="s">
        <v>13</v>
      </c>
      <c r="D12" s="59" t="s">
        <v>14</v>
      </c>
      <c r="E12" s="454"/>
      <c r="F12" s="454"/>
      <c r="G12" s="454"/>
      <c r="H12" s="35"/>
      <c r="I12" s="35"/>
      <c r="J12" s="454" t="s">
        <v>13</v>
      </c>
      <c r="K12" s="59" t="s">
        <v>14</v>
      </c>
      <c r="L12" s="19"/>
      <c r="M12" s="19"/>
      <c r="N12" s="19"/>
      <c r="O12" s="35"/>
      <c r="P12" s="468"/>
      <c r="Q12" s="35"/>
      <c r="R12" s="19"/>
      <c r="S12" s="592" t="s">
        <v>15</v>
      </c>
      <c r="T12" s="2"/>
    </row>
    <row r="13" spans="1:21" s="1" customFormat="1" ht="45.75" customHeight="1" x14ac:dyDescent="0.35">
      <c r="A13" s="568"/>
      <c r="B13" s="572"/>
      <c r="C13" s="19" t="s">
        <v>16</v>
      </c>
      <c r="D13" s="41" t="s">
        <v>17</v>
      </c>
      <c r="E13" s="19" t="s">
        <v>18</v>
      </c>
      <c r="F13" s="19">
        <v>95</v>
      </c>
      <c r="G13" s="19">
        <v>100</v>
      </c>
      <c r="H13" s="24">
        <f>IF(G13/F13*100&gt;100,100,G13/F13*100)</f>
        <v>100</v>
      </c>
      <c r="I13" s="19"/>
      <c r="J13" s="19" t="s">
        <v>16</v>
      </c>
      <c r="K13" s="41" t="s">
        <v>19</v>
      </c>
      <c r="L13" s="19" t="s">
        <v>20</v>
      </c>
      <c r="M13" s="19">
        <v>101</v>
      </c>
      <c r="N13" s="19">
        <v>101</v>
      </c>
      <c r="O13" s="24">
        <f>IF(N13/M13*100&gt;110,110,N13/M13*100)</f>
        <v>100</v>
      </c>
      <c r="P13" s="468"/>
      <c r="Q13" s="35"/>
      <c r="R13" s="19"/>
      <c r="S13" s="593"/>
      <c r="T13" s="2"/>
    </row>
    <row r="14" spans="1:21" s="1" customFormat="1" ht="47.25" customHeight="1" x14ac:dyDescent="0.35">
      <c r="A14" s="568"/>
      <c r="B14" s="572"/>
      <c r="C14" s="19"/>
      <c r="D14" s="41"/>
      <c r="E14" s="19"/>
      <c r="F14" s="19"/>
      <c r="G14" s="19"/>
      <c r="H14" s="24"/>
      <c r="I14" s="19"/>
      <c r="J14" s="19" t="s">
        <v>21</v>
      </c>
      <c r="K14" s="41" t="s">
        <v>22</v>
      </c>
      <c r="L14" s="19" t="s">
        <v>20</v>
      </c>
      <c r="M14" s="19">
        <v>221</v>
      </c>
      <c r="N14" s="19">
        <v>221</v>
      </c>
      <c r="O14" s="24">
        <f>IF(N14/M14*100&gt;110,110,N14/M14*100)</f>
        <v>100</v>
      </c>
      <c r="P14" s="468"/>
      <c r="Q14" s="35"/>
      <c r="R14" s="19"/>
      <c r="S14" s="593"/>
      <c r="T14" s="2"/>
    </row>
    <row r="15" spans="1:21" s="1" customFormat="1" ht="37.5" customHeight="1" x14ac:dyDescent="0.35">
      <c r="A15" s="568"/>
      <c r="B15" s="572"/>
      <c r="C15" s="19"/>
      <c r="D15" s="41"/>
      <c r="E15" s="19"/>
      <c r="F15" s="19"/>
      <c r="G15" s="19"/>
      <c r="H15" s="24"/>
      <c r="I15" s="19"/>
      <c r="J15" s="19" t="s">
        <v>23</v>
      </c>
      <c r="K15" s="41" t="s">
        <v>24</v>
      </c>
      <c r="L15" s="19" t="s">
        <v>20</v>
      </c>
      <c r="M15" s="19">
        <v>48</v>
      </c>
      <c r="N15" s="19">
        <v>48</v>
      </c>
      <c r="O15" s="24">
        <f>IF(N15/M15*100&gt;110,110,N15/M15*100)</f>
        <v>100</v>
      </c>
      <c r="P15" s="468"/>
      <c r="Q15" s="35"/>
      <c r="R15" s="19"/>
      <c r="S15" s="593"/>
      <c r="T15" s="2"/>
    </row>
    <row r="16" spans="1:21" s="1" customFormat="1" ht="42.75" customHeight="1" x14ac:dyDescent="0.35">
      <c r="A16" s="568"/>
      <c r="B16" s="572"/>
      <c r="C16" s="128"/>
      <c r="D16" s="466" t="s">
        <v>644</v>
      </c>
      <c r="E16" s="20"/>
      <c r="F16" s="127"/>
      <c r="G16" s="126"/>
      <c r="H16" s="18"/>
      <c r="I16" s="18">
        <f>H13</f>
        <v>100</v>
      </c>
      <c r="J16" s="20"/>
      <c r="K16" s="466" t="s">
        <v>644</v>
      </c>
      <c r="L16" s="20"/>
      <c r="M16" s="124"/>
      <c r="N16" s="124"/>
      <c r="O16" s="18"/>
      <c r="P16" s="18">
        <f>(O13+O14+O15)/3</f>
        <v>100</v>
      </c>
      <c r="Q16" s="18">
        <f>(I16+P16)/2</f>
        <v>100</v>
      </c>
      <c r="R16" s="465" t="s">
        <v>25</v>
      </c>
      <c r="S16" s="593"/>
      <c r="T16" s="2"/>
      <c r="U16" s="3"/>
    </row>
    <row r="17" spans="1:23" s="1" customFormat="1" ht="42" customHeight="1" x14ac:dyDescent="0.35">
      <c r="A17" s="568"/>
      <c r="B17" s="572"/>
      <c r="C17" s="454" t="s">
        <v>26</v>
      </c>
      <c r="D17" s="59" t="s">
        <v>27</v>
      </c>
      <c r="E17" s="19"/>
      <c r="F17" s="19"/>
      <c r="G17" s="19"/>
      <c r="H17" s="35"/>
      <c r="I17" s="35"/>
      <c r="J17" s="454" t="s">
        <v>26</v>
      </c>
      <c r="K17" s="59" t="s">
        <v>27</v>
      </c>
      <c r="L17" s="19"/>
      <c r="M17" s="476"/>
      <c r="N17" s="476"/>
      <c r="O17" s="35"/>
      <c r="P17" s="468"/>
      <c r="Q17" s="35"/>
      <c r="R17" s="19"/>
      <c r="S17" s="593"/>
      <c r="T17" s="2"/>
    </row>
    <row r="18" spans="1:23" s="1" customFormat="1" ht="48" customHeight="1" x14ac:dyDescent="0.35">
      <c r="A18" s="568"/>
      <c r="B18" s="572"/>
      <c r="C18" s="19" t="s">
        <v>28</v>
      </c>
      <c r="D18" s="41" t="s">
        <v>17</v>
      </c>
      <c r="E18" s="19" t="s">
        <v>18</v>
      </c>
      <c r="F18" s="19">
        <v>95</v>
      </c>
      <c r="G18" s="19">
        <v>98.3</v>
      </c>
      <c r="H18" s="24">
        <f>IF(G18/F18*100&gt;100,100,G18/F18*100)</f>
        <v>100</v>
      </c>
      <c r="I18" s="19"/>
      <c r="J18" s="129" t="s">
        <v>28</v>
      </c>
      <c r="K18" s="41" t="s">
        <v>29</v>
      </c>
      <c r="L18" s="19" t="s">
        <v>20</v>
      </c>
      <c r="M18" s="19">
        <v>360</v>
      </c>
      <c r="N18" s="19">
        <v>360</v>
      </c>
      <c r="O18" s="24">
        <f>IF(N18/M18*100&gt;110,110,N18/M18*100)</f>
        <v>100</v>
      </c>
      <c r="P18" s="468"/>
      <c r="Q18" s="35"/>
      <c r="R18" s="19"/>
      <c r="S18" s="593"/>
      <c r="T18" s="2"/>
    </row>
    <row r="19" spans="1:23" s="1" customFormat="1" ht="48" customHeight="1" x14ac:dyDescent="0.35">
      <c r="A19" s="568"/>
      <c r="B19" s="572"/>
      <c r="C19" s="19" t="s">
        <v>30</v>
      </c>
      <c r="D19" s="41" t="s">
        <v>31</v>
      </c>
      <c r="E19" s="19" t="s">
        <v>32</v>
      </c>
      <c r="F19" s="19">
        <v>35</v>
      </c>
      <c r="G19" s="19">
        <v>22.59</v>
      </c>
      <c r="H19" s="24">
        <f>IF(F19/G19*100&gt;100,100,F19/G19*100)</f>
        <v>100</v>
      </c>
      <c r="I19" s="19"/>
      <c r="J19" s="129" t="s">
        <v>30</v>
      </c>
      <c r="K19" s="41" t="s">
        <v>33</v>
      </c>
      <c r="L19" s="19" t="s">
        <v>20</v>
      </c>
      <c r="M19" s="19">
        <v>1</v>
      </c>
      <c r="N19" s="19">
        <v>1</v>
      </c>
      <c r="O19" s="24">
        <f>IF(N19/M19*100&gt;110,110,N19/M19*100)</f>
        <v>100</v>
      </c>
      <c r="P19" s="468"/>
      <c r="Q19" s="35"/>
      <c r="R19" s="454"/>
      <c r="S19" s="593"/>
      <c r="T19" s="2"/>
    </row>
    <row r="20" spans="1:23" s="1" customFormat="1" ht="64.5" customHeight="1" x14ac:dyDescent="0.35">
      <c r="A20" s="568"/>
      <c r="B20" s="572"/>
      <c r="C20" s="19"/>
      <c r="D20" s="41"/>
      <c r="E20" s="19"/>
      <c r="F20" s="19"/>
      <c r="G20" s="19"/>
      <c r="H20" s="24"/>
      <c r="I20" s="19"/>
      <c r="J20" s="129" t="s">
        <v>34</v>
      </c>
      <c r="K20" s="41" t="s">
        <v>35</v>
      </c>
      <c r="L20" s="19" t="s">
        <v>20</v>
      </c>
      <c r="M20" s="19">
        <v>9</v>
      </c>
      <c r="N20" s="19">
        <v>9</v>
      </c>
      <c r="O20" s="24">
        <f>IF(N20/M20*100&gt;110,110,N20/M20*100)</f>
        <v>100</v>
      </c>
      <c r="P20" s="468"/>
      <c r="Q20" s="35"/>
      <c r="R20" s="19"/>
      <c r="S20" s="593"/>
      <c r="T20" s="2"/>
    </row>
    <row r="21" spans="1:23" s="1" customFormat="1" ht="46.5" customHeight="1" x14ac:dyDescent="0.35">
      <c r="A21" s="568"/>
      <c r="B21" s="572"/>
      <c r="C21" s="128"/>
      <c r="D21" s="466" t="s">
        <v>644</v>
      </c>
      <c r="E21" s="20"/>
      <c r="F21" s="127"/>
      <c r="G21" s="126"/>
      <c r="H21" s="18"/>
      <c r="I21" s="18">
        <f>(H18+H19)/2</f>
        <v>100</v>
      </c>
      <c r="J21" s="20"/>
      <c r="K21" s="466" t="s">
        <v>644</v>
      </c>
      <c r="L21" s="20"/>
      <c r="M21" s="124"/>
      <c r="N21" s="124"/>
      <c r="O21" s="18"/>
      <c r="P21" s="18">
        <f>(O20+O18+O19)/3</f>
        <v>100</v>
      </c>
      <c r="Q21" s="18">
        <f>(I21+P21)/2</f>
        <v>100</v>
      </c>
      <c r="R21" s="465" t="s">
        <v>25</v>
      </c>
      <c r="S21" s="593"/>
      <c r="T21" s="2"/>
      <c r="U21" s="3"/>
    </row>
    <row r="22" spans="1:23" s="1" customFormat="1" ht="90" customHeight="1" x14ac:dyDescent="0.35">
      <c r="A22" s="568"/>
      <c r="B22" s="572"/>
      <c r="C22" s="454" t="s">
        <v>36</v>
      </c>
      <c r="D22" s="59" t="s">
        <v>37</v>
      </c>
      <c r="E22" s="19"/>
      <c r="F22" s="19"/>
      <c r="G22" s="19"/>
      <c r="H22" s="35"/>
      <c r="I22" s="35"/>
      <c r="J22" s="454" t="s">
        <v>36</v>
      </c>
      <c r="K22" s="59" t="str">
        <f>D22</f>
        <v>Предоставление консультационных и методических услуг</v>
      </c>
      <c r="L22" s="19"/>
      <c r="M22" s="122"/>
      <c r="N22" s="122"/>
      <c r="O22" s="35"/>
      <c r="P22" s="468"/>
      <c r="Q22" s="35"/>
      <c r="R22" s="19"/>
      <c r="S22" s="593"/>
      <c r="T22" s="2"/>
    </row>
    <row r="23" spans="1:23" s="214" customFormat="1" ht="54" customHeight="1" x14ac:dyDescent="0.35">
      <c r="A23" s="568"/>
      <c r="B23" s="572"/>
      <c r="C23" s="19" t="s">
        <v>38</v>
      </c>
      <c r="D23" s="41" t="s">
        <v>39</v>
      </c>
      <c r="E23" s="19" t="s">
        <v>20</v>
      </c>
      <c r="F23" s="19">
        <v>50</v>
      </c>
      <c r="G23" s="19">
        <v>50</v>
      </c>
      <c r="H23" s="24">
        <f>IF(G23/F23*100&gt;100,100,G23/F23*100)</f>
        <v>100</v>
      </c>
      <c r="I23" s="19"/>
      <c r="J23" s="129" t="s">
        <v>38</v>
      </c>
      <c r="K23" s="41" t="s">
        <v>40</v>
      </c>
      <c r="L23" s="19" t="s">
        <v>41</v>
      </c>
      <c r="M23" s="19">
        <v>100</v>
      </c>
      <c r="N23" s="122">
        <v>100</v>
      </c>
      <c r="O23" s="24">
        <f>IF(N23/M23*100&gt;110,110,N23/M23*100)</f>
        <v>100</v>
      </c>
      <c r="P23" s="468"/>
      <c r="Q23" s="35"/>
      <c r="R23" s="454"/>
      <c r="S23" s="593"/>
      <c r="T23" s="2"/>
      <c r="W23" s="215"/>
    </row>
    <row r="24" spans="1:23" s="1" customFormat="1" ht="45" customHeight="1" x14ac:dyDescent="0.35">
      <c r="A24" s="568"/>
      <c r="B24" s="572"/>
      <c r="C24" s="465"/>
      <c r="D24" s="466" t="s">
        <v>644</v>
      </c>
      <c r="E24" s="465"/>
      <c r="F24" s="20"/>
      <c r="G24" s="20"/>
      <c r="H24" s="18"/>
      <c r="I24" s="18">
        <f>H23</f>
        <v>100</v>
      </c>
      <c r="J24" s="128"/>
      <c r="K24" s="466" t="s">
        <v>644</v>
      </c>
      <c r="L24" s="20"/>
      <c r="M24" s="124"/>
      <c r="N24" s="124"/>
      <c r="O24" s="18"/>
      <c r="P24" s="18">
        <f>O23</f>
        <v>100</v>
      </c>
      <c r="Q24" s="18">
        <f>(I24+P24)/2</f>
        <v>100</v>
      </c>
      <c r="R24" s="465" t="s">
        <v>25</v>
      </c>
      <c r="S24" s="593"/>
      <c r="T24" s="2"/>
    </row>
    <row r="25" spans="1:23" s="1" customFormat="1" ht="68.25" customHeight="1" x14ac:dyDescent="0.35">
      <c r="A25" s="569"/>
      <c r="B25" s="573"/>
      <c r="C25" s="454" t="s">
        <v>123</v>
      </c>
      <c r="D25" s="59" t="s">
        <v>130</v>
      </c>
      <c r="E25" s="454"/>
      <c r="F25" s="454"/>
      <c r="G25" s="454"/>
      <c r="H25" s="35"/>
      <c r="I25" s="35"/>
      <c r="J25" s="454" t="s">
        <v>123</v>
      </c>
      <c r="K25" s="59" t="s">
        <v>130</v>
      </c>
      <c r="L25" s="19"/>
      <c r="M25" s="19"/>
      <c r="N25" s="19"/>
      <c r="O25" s="35"/>
      <c r="P25" s="35"/>
      <c r="Q25" s="35"/>
      <c r="R25" s="19"/>
      <c r="S25" s="586"/>
      <c r="T25" s="2"/>
    </row>
    <row r="26" spans="1:23" s="1" customFormat="1" ht="48" customHeight="1" x14ac:dyDescent="0.35">
      <c r="A26" s="569"/>
      <c r="B26" s="573"/>
      <c r="C26" s="19" t="s">
        <v>124</v>
      </c>
      <c r="D26" s="41" t="s">
        <v>208</v>
      </c>
      <c r="E26" s="19" t="s">
        <v>18</v>
      </c>
      <c r="F26" s="19">
        <v>100</v>
      </c>
      <c r="G26" s="19">
        <v>100</v>
      </c>
      <c r="H26" s="24">
        <f>IF(G26/F26*100&gt;100,100,G26/F26*100)</f>
        <v>100</v>
      </c>
      <c r="I26" s="19"/>
      <c r="J26" s="19" t="s">
        <v>124</v>
      </c>
      <c r="K26" s="455" t="s">
        <v>223</v>
      </c>
      <c r="L26" s="19" t="s">
        <v>158</v>
      </c>
      <c r="M26" s="19"/>
      <c r="N26" s="19"/>
      <c r="O26" s="24"/>
      <c r="P26" s="468"/>
      <c r="Q26" s="35"/>
      <c r="R26" s="19"/>
      <c r="S26" s="586"/>
      <c r="T26" s="2"/>
    </row>
    <row r="27" spans="1:23" s="1" customFormat="1" x14ac:dyDescent="0.35">
      <c r="A27" s="569"/>
      <c r="B27" s="573"/>
      <c r="C27" s="19"/>
      <c r="D27" s="41"/>
      <c r="E27" s="19"/>
      <c r="F27" s="477"/>
      <c r="G27" s="477"/>
      <c r="H27" s="24"/>
      <c r="I27" s="19"/>
      <c r="J27" s="19" t="s">
        <v>284</v>
      </c>
      <c r="K27" s="455" t="s">
        <v>283</v>
      </c>
      <c r="L27" s="19" t="s">
        <v>158</v>
      </c>
      <c r="M27" s="19">
        <v>374</v>
      </c>
      <c r="N27" s="19">
        <v>374</v>
      </c>
      <c r="O27" s="24">
        <f>IF(N27/M27*100&gt;110,110,N27/M27*100)</f>
        <v>100</v>
      </c>
      <c r="P27" s="468"/>
      <c r="Q27" s="35"/>
      <c r="R27" s="19"/>
      <c r="S27" s="586"/>
      <c r="T27" s="2"/>
    </row>
    <row r="28" spans="1:23" s="214" customFormat="1" ht="46.5" customHeight="1" x14ac:dyDescent="0.35">
      <c r="A28" s="570"/>
      <c r="B28" s="574"/>
      <c r="C28" s="20"/>
      <c r="D28" s="466" t="s">
        <v>644</v>
      </c>
      <c r="E28" s="465"/>
      <c r="F28" s="20"/>
      <c r="G28" s="20"/>
      <c r="H28" s="18"/>
      <c r="I28" s="18">
        <f>H26</f>
        <v>100</v>
      </c>
      <c r="J28" s="128"/>
      <c r="K28" s="466" t="s">
        <v>644</v>
      </c>
      <c r="L28" s="20"/>
      <c r="M28" s="124"/>
      <c r="N28" s="124"/>
      <c r="O28" s="18"/>
      <c r="P28" s="18">
        <f>O27</f>
        <v>100</v>
      </c>
      <c r="Q28" s="18">
        <f>(I28+P28)/2</f>
        <v>100</v>
      </c>
      <c r="R28" s="465" t="s">
        <v>25</v>
      </c>
      <c r="S28" s="587"/>
      <c r="T28" s="2"/>
      <c r="W28" s="215"/>
    </row>
    <row r="29" spans="1:23" s="1" customFormat="1" ht="59.25" customHeight="1" x14ac:dyDescent="0.35">
      <c r="A29" s="567">
        <v>2</v>
      </c>
      <c r="B29" s="571" t="s">
        <v>42</v>
      </c>
      <c r="C29" s="454" t="s">
        <v>13</v>
      </c>
      <c r="D29" s="59" t="s">
        <v>14</v>
      </c>
      <c r="E29" s="454"/>
      <c r="F29" s="454"/>
      <c r="G29" s="454"/>
      <c r="H29" s="35"/>
      <c r="I29" s="35"/>
      <c r="J29" s="454" t="s">
        <v>13</v>
      </c>
      <c r="K29" s="59" t="s">
        <v>14</v>
      </c>
      <c r="L29" s="19"/>
      <c r="M29" s="19"/>
      <c r="N29" s="19"/>
      <c r="O29" s="35"/>
      <c r="P29" s="468"/>
      <c r="Q29" s="35"/>
      <c r="R29" s="19"/>
      <c r="S29" s="584" t="s">
        <v>15</v>
      </c>
      <c r="T29" s="2"/>
    </row>
    <row r="30" spans="1:23" s="1" customFormat="1" ht="59.25" customHeight="1" x14ac:dyDescent="0.35">
      <c r="A30" s="568"/>
      <c r="B30" s="572"/>
      <c r="C30" s="19" t="s">
        <v>16</v>
      </c>
      <c r="D30" s="41" t="s">
        <v>17</v>
      </c>
      <c r="E30" s="19" t="s">
        <v>18</v>
      </c>
      <c r="F30" s="19">
        <v>95</v>
      </c>
      <c r="G30" s="19">
        <v>100</v>
      </c>
      <c r="H30" s="24">
        <f>IF(G30/F30*100&gt;100,100,G30/F30*100)</f>
        <v>100</v>
      </c>
      <c r="I30" s="19"/>
      <c r="J30" s="19" t="s">
        <v>16</v>
      </c>
      <c r="K30" s="41" t="s">
        <v>43</v>
      </c>
      <c r="L30" s="19" t="s">
        <v>20</v>
      </c>
      <c r="M30" s="19">
        <v>132</v>
      </c>
      <c r="N30" s="19">
        <v>132</v>
      </c>
      <c r="O30" s="24">
        <f>IF(N30/M30*100&gt;110,110,N30/M30*100)</f>
        <v>100</v>
      </c>
      <c r="P30" s="468"/>
      <c r="Q30" s="35"/>
      <c r="R30" s="19"/>
      <c r="S30" s="585"/>
      <c r="T30" s="2"/>
    </row>
    <row r="31" spans="1:23" s="1" customFormat="1" ht="66.75" customHeight="1" x14ac:dyDescent="0.35">
      <c r="A31" s="568"/>
      <c r="B31" s="572"/>
      <c r="C31" s="19"/>
      <c r="D31" s="41"/>
      <c r="E31" s="19"/>
      <c r="F31" s="19"/>
      <c r="G31" s="19"/>
      <c r="H31" s="24"/>
      <c r="I31" s="19"/>
      <c r="J31" s="19" t="s">
        <v>21</v>
      </c>
      <c r="K31" s="41" t="s">
        <v>29</v>
      </c>
      <c r="L31" s="19" t="s">
        <v>20</v>
      </c>
      <c r="M31" s="19">
        <v>296</v>
      </c>
      <c r="N31" s="19">
        <v>296</v>
      </c>
      <c r="O31" s="24">
        <f>IF(N31/M31*100&gt;110,110,N31/M31*100)</f>
        <v>100</v>
      </c>
      <c r="P31" s="468"/>
      <c r="Q31" s="35"/>
      <c r="R31" s="19"/>
      <c r="S31" s="585"/>
      <c r="T31" s="2"/>
    </row>
    <row r="32" spans="1:23" s="1" customFormat="1" ht="56.25" customHeight="1" x14ac:dyDescent="0.35">
      <c r="A32" s="568"/>
      <c r="B32" s="572"/>
      <c r="C32" s="19"/>
      <c r="D32" s="41"/>
      <c r="E32" s="19"/>
      <c r="F32" s="19"/>
      <c r="G32" s="19"/>
      <c r="H32" s="24"/>
      <c r="I32" s="19"/>
      <c r="J32" s="19" t="s">
        <v>23</v>
      </c>
      <c r="K32" s="41" t="s">
        <v>44</v>
      </c>
      <c r="L32" s="19" t="s">
        <v>20</v>
      </c>
      <c r="M32" s="19">
        <v>36</v>
      </c>
      <c r="N32" s="19">
        <v>36</v>
      </c>
      <c r="O32" s="24">
        <f>IF(N32/M32*100&gt;110,110,N32/M32*100)</f>
        <v>100</v>
      </c>
      <c r="P32" s="468"/>
      <c r="Q32" s="35"/>
      <c r="R32" s="19"/>
      <c r="S32" s="585"/>
      <c r="T32" s="2"/>
    </row>
    <row r="33" spans="1:21" s="1" customFormat="1" ht="42" customHeight="1" x14ac:dyDescent="0.35">
      <c r="A33" s="568"/>
      <c r="B33" s="572"/>
      <c r="C33" s="128"/>
      <c r="D33" s="466" t="s">
        <v>644</v>
      </c>
      <c r="E33" s="20"/>
      <c r="F33" s="127"/>
      <c r="G33" s="126"/>
      <c r="H33" s="18"/>
      <c r="I33" s="18">
        <f>H30</f>
        <v>100</v>
      </c>
      <c r="J33" s="20"/>
      <c r="K33" s="466" t="s">
        <v>644</v>
      </c>
      <c r="L33" s="20"/>
      <c r="M33" s="124"/>
      <c r="N33" s="124"/>
      <c r="O33" s="18"/>
      <c r="P33" s="18">
        <f>(O32+O30+O31)/3</f>
        <v>100</v>
      </c>
      <c r="Q33" s="18">
        <f>(I33+P33)/2</f>
        <v>100</v>
      </c>
      <c r="R33" s="465" t="s">
        <v>25</v>
      </c>
      <c r="S33" s="585"/>
      <c r="T33" s="2"/>
      <c r="U33" s="3"/>
    </row>
    <row r="34" spans="1:21" s="1" customFormat="1" ht="43.5" customHeight="1" x14ac:dyDescent="0.35">
      <c r="A34" s="568"/>
      <c r="B34" s="572"/>
      <c r="C34" s="454" t="s">
        <v>26</v>
      </c>
      <c r="D34" s="59" t="s">
        <v>27</v>
      </c>
      <c r="E34" s="19"/>
      <c r="F34" s="19"/>
      <c r="G34" s="19"/>
      <c r="H34" s="35"/>
      <c r="I34" s="35"/>
      <c r="J34" s="454" t="s">
        <v>26</v>
      </c>
      <c r="K34" s="59" t="s">
        <v>27</v>
      </c>
      <c r="L34" s="19"/>
      <c r="M34" s="476"/>
      <c r="N34" s="476"/>
      <c r="O34" s="35"/>
      <c r="P34" s="468"/>
      <c r="Q34" s="35"/>
      <c r="R34" s="19"/>
      <c r="S34" s="585"/>
      <c r="T34" s="2"/>
    </row>
    <row r="35" spans="1:21" s="1" customFormat="1" ht="67.5" customHeight="1" x14ac:dyDescent="0.35">
      <c r="A35" s="568"/>
      <c r="B35" s="572"/>
      <c r="C35" s="19" t="s">
        <v>28</v>
      </c>
      <c r="D35" s="41" t="s">
        <v>17</v>
      </c>
      <c r="E35" s="19" t="s">
        <v>18</v>
      </c>
      <c r="F35" s="19">
        <v>95</v>
      </c>
      <c r="G35" s="19">
        <v>99</v>
      </c>
      <c r="H35" s="24">
        <f>IF(G35/F35*100&gt;100,100,G35/F35*100)</f>
        <v>100</v>
      </c>
      <c r="I35" s="19"/>
      <c r="J35" s="129" t="s">
        <v>28</v>
      </c>
      <c r="K35" s="41" t="s">
        <v>45</v>
      </c>
      <c r="L35" s="19" t="s">
        <v>20</v>
      </c>
      <c r="M35" s="19">
        <v>459</v>
      </c>
      <c r="N35" s="19">
        <v>459</v>
      </c>
      <c r="O35" s="24">
        <f>IF(N35/M35*100&gt;110,110,N35/M35*100)</f>
        <v>100</v>
      </c>
      <c r="P35" s="468"/>
      <c r="Q35" s="35"/>
      <c r="R35" s="454"/>
      <c r="S35" s="585"/>
      <c r="T35" s="2"/>
    </row>
    <row r="36" spans="1:21" s="1" customFormat="1" ht="67.5" customHeight="1" x14ac:dyDescent="0.35">
      <c r="A36" s="568"/>
      <c r="B36" s="572"/>
      <c r="C36" s="19" t="s">
        <v>30</v>
      </c>
      <c r="D36" s="41" t="s">
        <v>31</v>
      </c>
      <c r="E36" s="19" t="s">
        <v>32</v>
      </c>
      <c r="F36" s="19">
        <v>35</v>
      </c>
      <c r="G36" s="19">
        <v>34.5</v>
      </c>
      <c r="H36" s="24">
        <f>IF(F36/G36*100&gt;100,100,F36/G36*100)</f>
        <v>100</v>
      </c>
      <c r="I36" s="19"/>
      <c r="J36" s="129" t="s">
        <v>30</v>
      </c>
      <c r="K36" s="41" t="s">
        <v>33</v>
      </c>
      <c r="L36" s="19" t="s">
        <v>20</v>
      </c>
      <c r="M36" s="19">
        <v>3</v>
      </c>
      <c r="N36" s="19">
        <v>3</v>
      </c>
      <c r="O36" s="24">
        <f>IF(N36/M36*100&gt;110,110,N36/M36*100)</f>
        <v>100</v>
      </c>
      <c r="P36" s="468"/>
      <c r="Q36" s="35"/>
      <c r="R36" s="454"/>
      <c r="S36" s="585"/>
      <c r="T36" s="2"/>
    </row>
    <row r="37" spans="1:21" s="1" customFormat="1" ht="59.25" customHeight="1" x14ac:dyDescent="0.35">
      <c r="A37" s="568"/>
      <c r="B37" s="572"/>
      <c r="C37" s="19"/>
      <c r="D37" s="41"/>
      <c r="E37" s="19"/>
      <c r="F37" s="19"/>
      <c r="G37" s="19"/>
      <c r="H37" s="24"/>
      <c r="I37" s="19"/>
      <c r="J37" s="129" t="s">
        <v>34</v>
      </c>
      <c r="K37" s="41" t="s">
        <v>35</v>
      </c>
      <c r="L37" s="19" t="s">
        <v>20</v>
      </c>
      <c r="M37" s="19">
        <v>2</v>
      </c>
      <c r="N37" s="19">
        <v>2</v>
      </c>
      <c r="O37" s="24">
        <f>IF(N37/M37*100&gt;110,110,N37/M37*100)</f>
        <v>100</v>
      </c>
      <c r="P37" s="468"/>
      <c r="Q37" s="35"/>
      <c r="R37" s="19"/>
      <c r="S37" s="585"/>
      <c r="T37" s="2"/>
    </row>
    <row r="38" spans="1:21" s="1" customFormat="1" ht="38.25" customHeight="1" x14ac:dyDescent="0.35">
      <c r="A38" s="568"/>
      <c r="B38" s="572"/>
      <c r="C38" s="128"/>
      <c r="D38" s="466" t="s">
        <v>644</v>
      </c>
      <c r="E38" s="20"/>
      <c r="F38" s="127"/>
      <c r="G38" s="126"/>
      <c r="H38" s="18"/>
      <c r="I38" s="18">
        <f>(H35+H36)/2</f>
        <v>100</v>
      </c>
      <c r="J38" s="20"/>
      <c r="K38" s="466" t="s">
        <v>644</v>
      </c>
      <c r="L38" s="20"/>
      <c r="M38" s="124"/>
      <c r="N38" s="124"/>
      <c r="O38" s="18"/>
      <c r="P38" s="18">
        <f>(O35+O36+O37)/3</f>
        <v>100</v>
      </c>
      <c r="Q38" s="18">
        <f>(I38+P38)/2</f>
        <v>100</v>
      </c>
      <c r="R38" s="465" t="s">
        <v>25</v>
      </c>
      <c r="S38" s="585"/>
      <c r="T38" s="2"/>
      <c r="U38" s="3"/>
    </row>
    <row r="39" spans="1:21" s="1" customFormat="1" ht="54" customHeight="1" x14ac:dyDescent="0.35">
      <c r="A39" s="568"/>
      <c r="B39" s="572"/>
      <c r="C39" s="454" t="s">
        <v>36</v>
      </c>
      <c r="D39" s="59" t="s">
        <v>37</v>
      </c>
      <c r="E39" s="19"/>
      <c r="F39" s="19"/>
      <c r="G39" s="19"/>
      <c r="H39" s="35"/>
      <c r="I39" s="35"/>
      <c r="J39" s="454" t="s">
        <v>36</v>
      </c>
      <c r="K39" s="59" t="str">
        <f>D39</f>
        <v>Предоставление консультационных и методических услуг</v>
      </c>
      <c r="L39" s="19"/>
      <c r="M39" s="122"/>
      <c r="N39" s="122"/>
      <c r="O39" s="35"/>
      <c r="P39" s="468"/>
      <c r="Q39" s="35"/>
      <c r="R39" s="19"/>
      <c r="S39" s="585"/>
      <c r="T39" s="2"/>
    </row>
    <row r="40" spans="1:21" s="1" customFormat="1" ht="54" customHeight="1" x14ac:dyDescent="0.35">
      <c r="A40" s="568"/>
      <c r="B40" s="572"/>
      <c r="C40" s="19" t="s">
        <v>38</v>
      </c>
      <c r="D40" s="41" t="s">
        <v>39</v>
      </c>
      <c r="E40" s="19" t="s">
        <v>46</v>
      </c>
      <c r="F40" s="19">
        <v>50</v>
      </c>
      <c r="G40" s="19">
        <v>50</v>
      </c>
      <c r="H40" s="24">
        <f>IF(G40/F40*100&gt;100,100,G40/F40*100)</f>
        <v>100</v>
      </c>
      <c r="I40" s="19"/>
      <c r="J40" s="129" t="s">
        <v>38</v>
      </c>
      <c r="K40" s="41" t="s">
        <v>40</v>
      </c>
      <c r="L40" s="19" t="s">
        <v>41</v>
      </c>
      <c r="M40" s="19">
        <v>100</v>
      </c>
      <c r="N40" s="122">
        <v>100</v>
      </c>
      <c r="O40" s="24">
        <f>IF(N40/M40*100&gt;110,110,N40/M40*100)</f>
        <v>100</v>
      </c>
      <c r="P40" s="468"/>
      <c r="Q40" s="35"/>
      <c r="R40" s="19"/>
      <c r="S40" s="585"/>
      <c r="T40" s="2"/>
    </row>
    <row r="41" spans="1:21" s="1" customFormat="1" ht="40.5" customHeight="1" x14ac:dyDescent="0.35">
      <c r="A41" s="568"/>
      <c r="B41" s="572"/>
      <c r="C41" s="465"/>
      <c r="D41" s="466" t="s">
        <v>644</v>
      </c>
      <c r="E41" s="465"/>
      <c r="F41" s="20"/>
      <c r="G41" s="20"/>
      <c r="H41" s="18"/>
      <c r="I41" s="18">
        <f>H40</f>
        <v>100</v>
      </c>
      <c r="J41" s="128"/>
      <c r="K41" s="466" t="s">
        <v>644</v>
      </c>
      <c r="L41" s="20"/>
      <c r="M41" s="124"/>
      <c r="N41" s="124"/>
      <c r="O41" s="18"/>
      <c r="P41" s="18">
        <f>O40</f>
        <v>100</v>
      </c>
      <c r="Q41" s="18">
        <f>(I41+P41)/2</f>
        <v>100</v>
      </c>
      <c r="R41" s="465" t="s">
        <v>25</v>
      </c>
      <c r="S41" s="585"/>
      <c r="T41" s="2"/>
    </row>
    <row r="42" spans="1:21" s="1" customFormat="1" ht="42.75" customHeight="1" x14ac:dyDescent="0.35">
      <c r="A42" s="569"/>
      <c r="B42" s="573"/>
      <c r="C42" s="454" t="s">
        <v>123</v>
      </c>
      <c r="D42" s="59" t="s">
        <v>130</v>
      </c>
      <c r="E42" s="454"/>
      <c r="F42" s="454"/>
      <c r="G42" s="454"/>
      <c r="H42" s="35"/>
      <c r="I42" s="35"/>
      <c r="J42" s="454" t="s">
        <v>123</v>
      </c>
      <c r="K42" s="59" t="s">
        <v>130</v>
      </c>
      <c r="L42" s="19"/>
      <c r="M42" s="19"/>
      <c r="N42" s="19"/>
      <c r="O42" s="35"/>
      <c r="P42" s="35"/>
      <c r="Q42" s="35"/>
      <c r="R42" s="19"/>
      <c r="S42" s="586"/>
      <c r="T42" s="2"/>
    </row>
    <row r="43" spans="1:21" s="1" customFormat="1" ht="42.75" customHeight="1" x14ac:dyDescent="0.35">
      <c r="A43" s="569"/>
      <c r="B43" s="573"/>
      <c r="C43" s="19" t="s">
        <v>124</v>
      </c>
      <c r="D43" s="41" t="s">
        <v>208</v>
      </c>
      <c r="E43" s="19" t="s">
        <v>18</v>
      </c>
      <c r="F43" s="19">
        <v>100</v>
      </c>
      <c r="G43" s="19">
        <v>100</v>
      </c>
      <c r="H43" s="24">
        <f>IF(G43/F43*100&gt;100,100,G43/F43*100)</f>
        <v>100</v>
      </c>
      <c r="I43" s="19"/>
      <c r="J43" s="19" t="s">
        <v>124</v>
      </c>
      <c r="K43" s="455" t="s">
        <v>223</v>
      </c>
      <c r="L43" s="19" t="s">
        <v>158</v>
      </c>
      <c r="M43" s="19"/>
      <c r="N43" s="19"/>
      <c r="O43" s="24"/>
      <c r="P43" s="468"/>
      <c r="Q43" s="35"/>
      <c r="R43" s="19"/>
      <c r="S43" s="586"/>
      <c r="T43" s="2"/>
    </row>
    <row r="44" spans="1:21" s="1" customFormat="1" ht="48" customHeight="1" x14ac:dyDescent="0.35">
      <c r="A44" s="569"/>
      <c r="B44" s="573"/>
      <c r="C44" s="19"/>
      <c r="D44" s="41"/>
      <c r="E44" s="19"/>
      <c r="F44" s="477"/>
      <c r="G44" s="477"/>
      <c r="H44" s="24"/>
      <c r="I44" s="19"/>
      <c r="J44" s="19" t="s">
        <v>284</v>
      </c>
      <c r="K44" s="455" t="s">
        <v>283</v>
      </c>
      <c r="L44" s="19" t="s">
        <v>158</v>
      </c>
      <c r="M44" s="19">
        <v>374</v>
      </c>
      <c r="N44" s="19">
        <v>374</v>
      </c>
      <c r="O44" s="24">
        <f>IF(N44/M44*100&gt;110,110,N44/M44*100)</f>
        <v>100</v>
      </c>
      <c r="P44" s="468"/>
      <c r="Q44" s="35"/>
      <c r="R44" s="19"/>
      <c r="S44" s="586"/>
      <c r="T44" s="2"/>
    </row>
    <row r="45" spans="1:21" s="1" customFormat="1" ht="40.5" customHeight="1" x14ac:dyDescent="0.35">
      <c r="A45" s="570"/>
      <c r="B45" s="574"/>
      <c r="C45" s="20"/>
      <c r="D45" s="466" t="s">
        <v>644</v>
      </c>
      <c r="E45" s="465"/>
      <c r="F45" s="20"/>
      <c r="G45" s="20"/>
      <c r="H45" s="18"/>
      <c r="I45" s="18">
        <f>H43</f>
        <v>100</v>
      </c>
      <c r="J45" s="128"/>
      <c r="K45" s="466" t="s">
        <v>644</v>
      </c>
      <c r="L45" s="20"/>
      <c r="M45" s="124"/>
      <c r="N45" s="124"/>
      <c r="O45" s="18"/>
      <c r="P45" s="18">
        <f>O44</f>
        <v>100</v>
      </c>
      <c r="Q45" s="18">
        <f>(I45+P45)/2</f>
        <v>100</v>
      </c>
      <c r="R45" s="465" t="s">
        <v>25</v>
      </c>
      <c r="S45" s="587"/>
      <c r="T45" s="2"/>
    </row>
    <row r="46" spans="1:21" s="1" customFormat="1" ht="56.25" customHeight="1" x14ac:dyDescent="0.35">
      <c r="A46" s="567">
        <v>3</v>
      </c>
      <c r="B46" s="571" t="s">
        <v>47</v>
      </c>
      <c r="C46" s="454" t="s">
        <v>13</v>
      </c>
      <c r="D46" s="59" t="s">
        <v>14</v>
      </c>
      <c r="E46" s="454"/>
      <c r="F46" s="454"/>
      <c r="G46" s="454"/>
      <c r="H46" s="35"/>
      <c r="I46" s="35"/>
      <c r="J46" s="454" t="s">
        <v>13</v>
      </c>
      <c r="K46" s="59" t="s">
        <v>14</v>
      </c>
      <c r="L46" s="19"/>
      <c r="M46" s="19"/>
      <c r="N46" s="19"/>
      <c r="O46" s="35"/>
      <c r="P46" s="468"/>
      <c r="Q46" s="35"/>
      <c r="R46" s="19"/>
      <c r="S46" s="584" t="s">
        <v>15</v>
      </c>
      <c r="T46" s="2"/>
    </row>
    <row r="47" spans="1:21" s="1" customFormat="1" ht="56.25" customHeight="1" x14ac:dyDescent="0.35">
      <c r="A47" s="568"/>
      <c r="B47" s="572"/>
      <c r="C47" s="19" t="s">
        <v>16</v>
      </c>
      <c r="D47" s="41" t="s">
        <v>17</v>
      </c>
      <c r="E47" s="19" t="s">
        <v>18</v>
      </c>
      <c r="F47" s="19">
        <v>95</v>
      </c>
      <c r="G47" s="19">
        <v>95</v>
      </c>
      <c r="H47" s="24">
        <f>IF(G47/F47*100&gt;100,100,G47/F47*100)</f>
        <v>100</v>
      </c>
      <c r="I47" s="19"/>
      <c r="J47" s="19" t="s">
        <v>16</v>
      </c>
      <c r="K47" s="41" t="s">
        <v>49</v>
      </c>
      <c r="L47" s="19" t="s">
        <v>20</v>
      </c>
      <c r="M47" s="19">
        <v>78</v>
      </c>
      <c r="N47" s="19">
        <v>78</v>
      </c>
      <c r="O47" s="24">
        <f>IF(N47/M47*100&gt;110,110,N47/M47*100)</f>
        <v>100</v>
      </c>
      <c r="P47" s="468"/>
      <c r="Q47" s="35"/>
      <c r="R47" s="19"/>
      <c r="S47" s="585"/>
      <c r="T47" s="2"/>
    </row>
    <row r="48" spans="1:21" s="1" customFormat="1" ht="38.25" customHeight="1" x14ac:dyDescent="0.35">
      <c r="A48" s="568"/>
      <c r="B48" s="572"/>
      <c r="C48" s="19"/>
      <c r="D48" s="41"/>
      <c r="E48" s="19"/>
      <c r="F48" s="19"/>
      <c r="G48" s="19"/>
      <c r="H48" s="24"/>
      <c r="I48" s="19"/>
      <c r="J48" s="19" t="s">
        <v>21</v>
      </c>
      <c r="K48" s="41" t="s">
        <v>22</v>
      </c>
      <c r="L48" s="19" t="s">
        <v>20</v>
      </c>
      <c r="M48" s="19">
        <v>148</v>
      </c>
      <c r="N48" s="19">
        <v>148</v>
      </c>
      <c r="O48" s="24">
        <f>IF(N48/M48*100&gt;110,110,N48/M48*100)</f>
        <v>100</v>
      </c>
      <c r="P48" s="468"/>
      <c r="Q48" s="35"/>
      <c r="R48" s="19"/>
      <c r="S48" s="585"/>
      <c r="T48" s="2"/>
    </row>
    <row r="49" spans="1:21" s="1" customFormat="1" ht="35.25" customHeight="1" x14ac:dyDescent="0.35">
      <c r="A49" s="568"/>
      <c r="B49" s="572"/>
      <c r="C49" s="19"/>
      <c r="D49" s="41"/>
      <c r="E49" s="19"/>
      <c r="F49" s="19"/>
      <c r="G49" s="19"/>
      <c r="H49" s="24"/>
      <c r="I49" s="19"/>
      <c r="J49" s="19" t="s">
        <v>23</v>
      </c>
      <c r="K49" s="41" t="s">
        <v>50</v>
      </c>
      <c r="L49" s="19" t="s">
        <v>20</v>
      </c>
      <c r="M49" s="19">
        <v>20</v>
      </c>
      <c r="N49" s="19">
        <v>20</v>
      </c>
      <c r="O49" s="24">
        <f>IF(N49/M49*100&gt;110,110,N49/M49*100)</f>
        <v>100</v>
      </c>
      <c r="P49" s="468"/>
      <c r="Q49" s="35"/>
      <c r="R49" s="19"/>
      <c r="S49" s="585"/>
      <c r="T49" s="2"/>
    </row>
    <row r="50" spans="1:21" s="1" customFormat="1" ht="39.75" customHeight="1" x14ac:dyDescent="0.35">
      <c r="A50" s="568"/>
      <c r="B50" s="572"/>
      <c r="C50" s="128"/>
      <c r="D50" s="466" t="s">
        <v>644</v>
      </c>
      <c r="E50" s="20"/>
      <c r="F50" s="127"/>
      <c r="G50" s="126"/>
      <c r="H50" s="18"/>
      <c r="I50" s="18">
        <f>H47</f>
        <v>100</v>
      </c>
      <c r="J50" s="20"/>
      <c r="K50" s="466" t="s">
        <v>644</v>
      </c>
      <c r="L50" s="20"/>
      <c r="M50" s="124"/>
      <c r="N50" s="124"/>
      <c r="O50" s="18"/>
      <c r="P50" s="18">
        <f>(O47+O48+O49)/3</f>
        <v>100</v>
      </c>
      <c r="Q50" s="18">
        <f>(I50+P50)/2</f>
        <v>100</v>
      </c>
      <c r="R50" s="465" t="s">
        <v>292</v>
      </c>
      <c r="S50" s="585"/>
      <c r="T50" s="2"/>
      <c r="U50" s="3"/>
    </row>
    <row r="51" spans="1:21" s="1" customFormat="1" ht="72" customHeight="1" x14ac:dyDescent="0.35">
      <c r="A51" s="568"/>
      <c r="B51" s="572"/>
      <c r="C51" s="454" t="s">
        <v>26</v>
      </c>
      <c r="D51" s="59" t="s">
        <v>27</v>
      </c>
      <c r="E51" s="19"/>
      <c r="F51" s="19"/>
      <c r="G51" s="19"/>
      <c r="H51" s="35"/>
      <c r="I51" s="35"/>
      <c r="J51" s="454" t="s">
        <v>26</v>
      </c>
      <c r="K51" s="59" t="s">
        <v>27</v>
      </c>
      <c r="L51" s="19"/>
      <c r="M51" s="476"/>
      <c r="N51" s="476"/>
      <c r="O51" s="35"/>
      <c r="P51" s="468"/>
      <c r="Q51" s="35"/>
      <c r="R51" s="19"/>
      <c r="S51" s="585"/>
      <c r="T51" s="2"/>
    </row>
    <row r="52" spans="1:21" s="1" customFormat="1" ht="47.25" customHeight="1" x14ac:dyDescent="0.35">
      <c r="A52" s="568"/>
      <c r="B52" s="572"/>
      <c r="C52" s="19" t="s">
        <v>28</v>
      </c>
      <c r="D52" s="41" t="s">
        <v>17</v>
      </c>
      <c r="E52" s="19" t="s">
        <v>18</v>
      </c>
      <c r="F52" s="19">
        <v>95</v>
      </c>
      <c r="G52" s="19">
        <v>95</v>
      </c>
      <c r="H52" s="24">
        <f>IF(G52/F52*100&gt;100,100,G52/F52*100)</f>
        <v>100</v>
      </c>
      <c r="I52" s="19"/>
      <c r="J52" s="578" t="s">
        <v>28</v>
      </c>
      <c r="K52" s="575" t="s">
        <v>45</v>
      </c>
      <c r="L52" s="575" t="s">
        <v>20</v>
      </c>
      <c r="M52" s="575">
        <v>246</v>
      </c>
      <c r="N52" s="575">
        <v>246</v>
      </c>
      <c r="O52" s="577">
        <f>IF(N52/M52*100&gt;110,110,N52/M52*100)</f>
        <v>100</v>
      </c>
      <c r="P52" s="588"/>
      <c r="Q52" s="590"/>
      <c r="R52" s="575"/>
      <c r="S52" s="585"/>
      <c r="T52" s="2"/>
    </row>
    <row r="53" spans="1:21" s="1" customFormat="1" ht="53.25" customHeight="1" x14ac:dyDescent="0.35">
      <c r="A53" s="568"/>
      <c r="B53" s="572"/>
      <c r="C53" s="19" t="s">
        <v>30</v>
      </c>
      <c r="D53" s="41" t="s">
        <v>31</v>
      </c>
      <c r="E53" s="19" t="s">
        <v>32</v>
      </c>
      <c r="F53" s="19">
        <v>35</v>
      </c>
      <c r="G53" s="19">
        <v>23</v>
      </c>
      <c r="H53" s="24">
        <f>IF(F53/G53*100&gt;100,100,F53/G53*100)</f>
        <v>100</v>
      </c>
      <c r="I53" s="19"/>
      <c r="J53" s="579"/>
      <c r="K53" s="583"/>
      <c r="L53" s="583"/>
      <c r="M53" s="583"/>
      <c r="N53" s="583"/>
      <c r="O53" s="594"/>
      <c r="P53" s="589"/>
      <c r="Q53" s="591"/>
      <c r="R53" s="583"/>
      <c r="S53" s="585"/>
      <c r="T53" s="2"/>
    </row>
    <row r="54" spans="1:21" s="1" customFormat="1" ht="39.75" customHeight="1" x14ac:dyDescent="0.35">
      <c r="A54" s="568"/>
      <c r="B54" s="572"/>
      <c r="C54" s="128"/>
      <c r="D54" s="466" t="s">
        <v>644</v>
      </c>
      <c r="E54" s="20"/>
      <c r="F54" s="127"/>
      <c r="G54" s="126"/>
      <c r="H54" s="18"/>
      <c r="I54" s="18">
        <f>(H52+H53)/2</f>
        <v>100</v>
      </c>
      <c r="J54" s="20"/>
      <c r="K54" s="466" t="s">
        <v>644</v>
      </c>
      <c r="L54" s="20"/>
      <c r="M54" s="124"/>
      <c r="N54" s="124"/>
      <c r="O54" s="18"/>
      <c r="P54" s="18">
        <f>O52</f>
        <v>100</v>
      </c>
      <c r="Q54" s="18">
        <f>(I54)</f>
        <v>100</v>
      </c>
      <c r="R54" s="465" t="s">
        <v>25</v>
      </c>
      <c r="S54" s="585"/>
      <c r="T54" s="2"/>
      <c r="U54" s="3"/>
    </row>
    <row r="55" spans="1:21" s="1" customFormat="1" ht="58.5" customHeight="1" x14ac:dyDescent="0.35">
      <c r="A55" s="568"/>
      <c r="B55" s="572"/>
      <c r="C55" s="454" t="s">
        <v>36</v>
      </c>
      <c r="D55" s="59" t="s">
        <v>37</v>
      </c>
      <c r="E55" s="19"/>
      <c r="F55" s="19"/>
      <c r="G55" s="19"/>
      <c r="H55" s="35"/>
      <c r="I55" s="35"/>
      <c r="J55" s="454" t="s">
        <v>36</v>
      </c>
      <c r="K55" s="59" t="str">
        <f>D55</f>
        <v>Предоставление консультационных и методических услуг</v>
      </c>
      <c r="L55" s="19"/>
      <c r="M55" s="122"/>
      <c r="N55" s="122"/>
      <c r="O55" s="35"/>
      <c r="P55" s="468"/>
      <c r="Q55" s="35"/>
      <c r="R55" s="19"/>
      <c r="S55" s="585"/>
      <c r="T55" s="2"/>
    </row>
    <row r="56" spans="1:21" s="1" customFormat="1" ht="58.5" customHeight="1" x14ac:dyDescent="0.35">
      <c r="A56" s="568"/>
      <c r="B56" s="572"/>
      <c r="C56" s="19" t="s">
        <v>38</v>
      </c>
      <c r="D56" s="41" t="s">
        <v>39</v>
      </c>
      <c r="E56" s="19" t="s">
        <v>46</v>
      </c>
      <c r="F56" s="19">
        <v>50</v>
      </c>
      <c r="G56" s="19">
        <v>50</v>
      </c>
      <c r="H56" s="24">
        <f>IF(G56/F56*100&gt;100,100,G56/F56*100)</f>
        <v>100</v>
      </c>
      <c r="I56" s="19"/>
      <c r="J56" s="129" t="s">
        <v>38</v>
      </c>
      <c r="K56" s="41" t="s">
        <v>40</v>
      </c>
      <c r="L56" s="19" t="s">
        <v>41</v>
      </c>
      <c r="M56" s="122">
        <v>100</v>
      </c>
      <c r="N56" s="122">
        <v>100</v>
      </c>
      <c r="O56" s="24">
        <f>IF(N56/M56*100&gt;110,110,N56/M56*100)</f>
        <v>100</v>
      </c>
      <c r="P56" s="468"/>
      <c r="Q56" s="35"/>
      <c r="R56" s="19"/>
      <c r="S56" s="585"/>
      <c r="T56" s="2"/>
    </row>
    <row r="57" spans="1:21" s="1" customFormat="1" ht="43.5" customHeight="1" x14ac:dyDescent="0.35">
      <c r="A57" s="568"/>
      <c r="B57" s="572"/>
      <c r="C57" s="465"/>
      <c r="D57" s="466" t="s">
        <v>644</v>
      </c>
      <c r="E57" s="465"/>
      <c r="F57" s="20"/>
      <c r="G57" s="20"/>
      <c r="H57" s="18"/>
      <c r="I57" s="18">
        <f>H56</f>
        <v>100</v>
      </c>
      <c r="J57" s="128"/>
      <c r="K57" s="466" t="s">
        <v>644</v>
      </c>
      <c r="L57" s="20"/>
      <c r="M57" s="124"/>
      <c r="N57" s="124"/>
      <c r="O57" s="18"/>
      <c r="P57" s="18">
        <f>O56</f>
        <v>100</v>
      </c>
      <c r="Q57" s="18">
        <f>(I57+P57)/2</f>
        <v>100</v>
      </c>
      <c r="R57" s="465" t="s">
        <v>25</v>
      </c>
      <c r="S57" s="585"/>
      <c r="T57" s="2"/>
    </row>
    <row r="58" spans="1:21" s="1" customFormat="1" ht="51" customHeight="1" x14ac:dyDescent="0.35">
      <c r="A58" s="569"/>
      <c r="B58" s="573"/>
      <c r="C58" s="454" t="s">
        <v>123</v>
      </c>
      <c r="D58" s="59" t="s">
        <v>130</v>
      </c>
      <c r="E58" s="454"/>
      <c r="F58" s="454"/>
      <c r="G58" s="454"/>
      <c r="H58" s="35"/>
      <c r="I58" s="35"/>
      <c r="J58" s="454" t="s">
        <v>123</v>
      </c>
      <c r="K58" s="59" t="s">
        <v>130</v>
      </c>
      <c r="L58" s="19"/>
      <c r="M58" s="19"/>
      <c r="N58" s="19"/>
      <c r="O58" s="35"/>
      <c r="P58" s="35"/>
      <c r="Q58" s="35"/>
      <c r="R58" s="19"/>
      <c r="S58" s="586"/>
      <c r="T58" s="2"/>
    </row>
    <row r="59" spans="1:21" s="1" customFormat="1" ht="43.5" customHeight="1" x14ac:dyDescent="0.35">
      <c r="A59" s="569"/>
      <c r="B59" s="573"/>
      <c r="C59" s="19" t="s">
        <v>124</v>
      </c>
      <c r="D59" s="41" t="s">
        <v>208</v>
      </c>
      <c r="E59" s="19" t="s">
        <v>18</v>
      </c>
      <c r="F59" s="19">
        <v>100</v>
      </c>
      <c r="G59" s="19">
        <v>100</v>
      </c>
      <c r="H59" s="24">
        <f>IF(G59/F59*100&gt;100,100,G59/F59*100)</f>
        <v>100</v>
      </c>
      <c r="I59" s="19"/>
      <c r="J59" s="19" t="s">
        <v>124</v>
      </c>
      <c r="K59" s="455" t="s">
        <v>223</v>
      </c>
      <c r="L59" s="19" t="s">
        <v>158</v>
      </c>
      <c r="M59" s="19"/>
      <c r="N59" s="19"/>
      <c r="O59" s="24"/>
      <c r="P59" s="468"/>
      <c r="Q59" s="35"/>
      <c r="R59" s="19"/>
      <c r="S59" s="586"/>
      <c r="T59" s="2"/>
    </row>
    <row r="60" spans="1:21" s="1" customFormat="1" ht="43.5" customHeight="1" x14ac:dyDescent="0.35">
      <c r="A60" s="569"/>
      <c r="B60" s="573"/>
      <c r="C60" s="19"/>
      <c r="D60" s="41"/>
      <c r="E60" s="19"/>
      <c r="F60" s="477"/>
      <c r="G60" s="477"/>
      <c r="H60" s="24"/>
      <c r="I60" s="19"/>
      <c r="J60" s="19" t="s">
        <v>284</v>
      </c>
      <c r="K60" s="455" t="s">
        <v>285</v>
      </c>
      <c r="L60" s="19" t="s">
        <v>158</v>
      </c>
      <c r="M60" s="19">
        <v>374</v>
      </c>
      <c r="N60" s="19">
        <v>374</v>
      </c>
      <c r="O60" s="24">
        <f>IF(N60/M60*100&gt;110,110,N60/M60*100)</f>
        <v>100</v>
      </c>
      <c r="P60" s="468"/>
      <c r="Q60" s="35"/>
      <c r="R60" s="19"/>
      <c r="S60" s="586"/>
      <c r="T60" s="2"/>
    </row>
    <row r="61" spans="1:21" s="1" customFormat="1" ht="43.5" customHeight="1" x14ac:dyDescent="0.35">
      <c r="A61" s="570"/>
      <c r="B61" s="574"/>
      <c r="C61" s="20"/>
      <c r="D61" s="466" t="s">
        <v>644</v>
      </c>
      <c r="E61" s="465"/>
      <c r="F61" s="20"/>
      <c r="G61" s="20"/>
      <c r="H61" s="18"/>
      <c r="I61" s="18">
        <f>H59</f>
        <v>100</v>
      </c>
      <c r="J61" s="128"/>
      <c r="K61" s="466" t="s">
        <v>644</v>
      </c>
      <c r="L61" s="20"/>
      <c r="M61" s="124"/>
      <c r="N61" s="124"/>
      <c r="O61" s="18"/>
      <c r="P61" s="18">
        <f>O60</f>
        <v>100</v>
      </c>
      <c r="Q61" s="18">
        <f>(I61+P61)/2</f>
        <v>100</v>
      </c>
      <c r="R61" s="465" t="s">
        <v>25</v>
      </c>
      <c r="S61" s="587"/>
      <c r="T61" s="2"/>
    </row>
    <row r="62" spans="1:21" s="1" customFormat="1" ht="64.5" customHeight="1" x14ac:dyDescent="0.35">
      <c r="A62" s="567">
        <v>4</v>
      </c>
      <c r="B62" s="571" t="s">
        <v>52</v>
      </c>
      <c r="C62" s="454" t="s">
        <v>13</v>
      </c>
      <c r="D62" s="59" t="s">
        <v>14</v>
      </c>
      <c r="E62" s="454"/>
      <c r="F62" s="454"/>
      <c r="G62" s="454"/>
      <c r="H62" s="35"/>
      <c r="I62" s="35"/>
      <c r="J62" s="454" t="s">
        <v>13</v>
      </c>
      <c r="K62" s="59" t="s">
        <v>14</v>
      </c>
      <c r="L62" s="19"/>
      <c r="M62" s="19"/>
      <c r="N62" s="19"/>
      <c r="O62" s="35"/>
      <c r="P62" s="468"/>
      <c r="Q62" s="35"/>
      <c r="R62" s="19"/>
      <c r="S62" s="584" t="s">
        <v>15</v>
      </c>
      <c r="T62" s="2"/>
    </row>
    <row r="63" spans="1:21" s="1" customFormat="1" ht="45" customHeight="1" x14ac:dyDescent="0.35">
      <c r="A63" s="568"/>
      <c r="B63" s="572"/>
      <c r="C63" s="19" t="s">
        <v>16</v>
      </c>
      <c r="D63" s="41" t="s">
        <v>17</v>
      </c>
      <c r="E63" s="19" t="s">
        <v>18</v>
      </c>
      <c r="F63" s="19">
        <v>95</v>
      </c>
      <c r="G63" s="19">
        <v>95.1</v>
      </c>
      <c r="H63" s="24">
        <f>IF(G63/F63*100&gt;100,100,G63/F63*100)</f>
        <v>100</v>
      </c>
      <c r="I63" s="19"/>
      <c r="J63" s="19" t="s">
        <v>16</v>
      </c>
      <c r="K63" s="41" t="s">
        <v>43</v>
      </c>
      <c r="L63" s="19" t="s">
        <v>20</v>
      </c>
      <c r="M63" s="19">
        <v>109</v>
      </c>
      <c r="N63" s="19">
        <v>109</v>
      </c>
      <c r="O63" s="24">
        <f>IF(N63/M63*100&gt;110,110,N63/M63*100)</f>
        <v>100</v>
      </c>
      <c r="P63" s="468"/>
      <c r="Q63" s="35"/>
      <c r="R63" s="19"/>
      <c r="S63" s="585"/>
      <c r="T63" s="2"/>
    </row>
    <row r="64" spans="1:21" s="1" customFormat="1" ht="45" customHeight="1" x14ac:dyDescent="0.35">
      <c r="A64" s="568"/>
      <c r="B64" s="572"/>
      <c r="C64" s="19"/>
      <c r="D64" s="41"/>
      <c r="E64" s="19"/>
      <c r="F64" s="19"/>
      <c r="G64" s="19"/>
      <c r="H64" s="24"/>
      <c r="I64" s="19"/>
      <c r="J64" s="19" t="s">
        <v>21</v>
      </c>
      <c r="K64" s="41" t="s">
        <v>29</v>
      </c>
      <c r="L64" s="19" t="s">
        <v>20</v>
      </c>
      <c r="M64" s="19">
        <v>323</v>
      </c>
      <c r="N64" s="19">
        <v>323</v>
      </c>
      <c r="O64" s="24">
        <f>IF(N64/M64*100&gt;110,110,N64/M64*100)</f>
        <v>100</v>
      </c>
      <c r="P64" s="468"/>
      <c r="Q64" s="35"/>
      <c r="R64" s="19"/>
      <c r="S64" s="585"/>
      <c r="T64" s="2"/>
    </row>
    <row r="65" spans="1:23" s="1" customFormat="1" ht="45" customHeight="1" x14ac:dyDescent="0.35">
      <c r="A65" s="568"/>
      <c r="B65" s="572"/>
      <c r="C65" s="19"/>
      <c r="D65" s="41"/>
      <c r="E65" s="19"/>
      <c r="F65" s="19"/>
      <c r="G65" s="19"/>
      <c r="H65" s="24"/>
      <c r="I65" s="19"/>
      <c r="J65" s="19" t="s">
        <v>23</v>
      </c>
      <c r="K65" s="41" t="s">
        <v>44</v>
      </c>
      <c r="L65" s="19" t="s">
        <v>20</v>
      </c>
      <c r="M65" s="19">
        <v>47</v>
      </c>
      <c r="N65" s="19">
        <v>47</v>
      </c>
      <c r="O65" s="24">
        <f>IF(N65/M65*100&gt;110,110,N65/M65*100)</f>
        <v>100</v>
      </c>
      <c r="P65" s="468"/>
      <c r="Q65" s="35"/>
      <c r="R65" s="19"/>
      <c r="S65" s="585"/>
      <c r="T65" s="2"/>
    </row>
    <row r="66" spans="1:23" s="1" customFormat="1" ht="39.75" customHeight="1" x14ac:dyDescent="0.35">
      <c r="A66" s="568"/>
      <c r="B66" s="572"/>
      <c r="C66" s="128"/>
      <c r="D66" s="466" t="s">
        <v>644</v>
      </c>
      <c r="E66" s="20"/>
      <c r="F66" s="127"/>
      <c r="G66" s="126"/>
      <c r="H66" s="18"/>
      <c r="I66" s="18">
        <f>H63</f>
        <v>100</v>
      </c>
      <c r="J66" s="20"/>
      <c r="K66" s="466" t="s">
        <v>644</v>
      </c>
      <c r="L66" s="20"/>
      <c r="M66" s="124"/>
      <c r="N66" s="124"/>
      <c r="O66" s="18"/>
      <c r="P66" s="18">
        <f>(O65+O63+O64)/3</f>
        <v>100</v>
      </c>
      <c r="Q66" s="18">
        <f>(I66+P66)/2</f>
        <v>100</v>
      </c>
      <c r="R66" s="465" t="s">
        <v>25</v>
      </c>
      <c r="S66" s="585"/>
      <c r="T66" s="2"/>
      <c r="U66" s="3"/>
    </row>
    <row r="67" spans="1:23" s="1" customFormat="1" ht="57" customHeight="1" x14ac:dyDescent="0.35">
      <c r="A67" s="568"/>
      <c r="B67" s="572"/>
      <c r="C67" s="454" t="s">
        <v>26</v>
      </c>
      <c r="D67" s="59" t="s">
        <v>27</v>
      </c>
      <c r="E67" s="19"/>
      <c r="F67" s="19"/>
      <c r="G67" s="19"/>
      <c r="H67" s="35"/>
      <c r="I67" s="35"/>
      <c r="J67" s="454" t="s">
        <v>26</v>
      </c>
      <c r="K67" s="59" t="s">
        <v>27</v>
      </c>
      <c r="L67" s="19"/>
      <c r="M67" s="476"/>
      <c r="N67" s="476"/>
      <c r="O67" s="35"/>
      <c r="P67" s="468"/>
      <c r="Q67" s="35"/>
      <c r="R67" s="19"/>
      <c r="S67" s="585"/>
      <c r="T67" s="2"/>
    </row>
    <row r="68" spans="1:23" s="1" customFormat="1" ht="56.25" customHeight="1" x14ac:dyDescent="0.35">
      <c r="A68" s="568"/>
      <c r="B68" s="572"/>
      <c r="C68" s="19" t="s">
        <v>28</v>
      </c>
      <c r="D68" s="41" t="s">
        <v>17</v>
      </c>
      <c r="E68" s="19" t="s">
        <v>18</v>
      </c>
      <c r="F68" s="19">
        <v>95</v>
      </c>
      <c r="G68" s="19">
        <v>95.1</v>
      </c>
      <c r="H68" s="24">
        <f>IF(G68/F68*100&gt;100,100,G68/F68*100)</f>
        <v>100</v>
      </c>
      <c r="I68" s="19"/>
      <c r="J68" s="129" t="s">
        <v>28</v>
      </c>
      <c r="K68" s="41" t="s">
        <v>53</v>
      </c>
      <c r="L68" s="19" t="s">
        <v>20</v>
      </c>
      <c r="M68" s="19">
        <v>471</v>
      </c>
      <c r="N68" s="19">
        <v>471</v>
      </c>
      <c r="O68" s="24">
        <f>IF(N68/M68*100&gt;110,110,N68/M68*100)</f>
        <v>100</v>
      </c>
      <c r="P68" s="468"/>
      <c r="Q68" s="35"/>
      <c r="R68" s="19"/>
      <c r="S68" s="585"/>
      <c r="T68" s="2"/>
    </row>
    <row r="69" spans="1:23" s="1" customFormat="1" ht="56.25" customHeight="1" x14ac:dyDescent="0.35">
      <c r="A69" s="568"/>
      <c r="B69" s="572"/>
      <c r="C69" s="19" t="s">
        <v>30</v>
      </c>
      <c r="D69" s="41" t="s">
        <v>31</v>
      </c>
      <c r="E69" s="19" t="s">
        <v>32</v>
      </c>
      <c r="F69" s="19">
        <v>35</v>
      </c>
      <c r="G69" s="19">
        <v>23.4</v>
      </c>
      <c r="H69" s="24">
        <f>IF(F69/G69*100&gt;100,100,F69/G69*100)</f>
        <v>100</v>
      </c>
      <c r="I69" s="19"/>
      <c r="J69" s="129" t="s">
        <v>30</v>
      </c>
      <c r="K69" s="41" t="s">
        <v>35</v>
      </c>
      <c r="L69" s="19" t="s">
        <v>20</v>
      </c>
      <c r="M69" s="19">
        <v>8</v>
      </c>
      <c r="N69" s="19">
        <v>8</v>
      </c>
      <c r="O69" s="24">
        <f>IF(N69/M69*100&gt;110,110,N69/M69*100)</f>
        <v>100</v>
      </c>
      <c r="P69" s="468"/>
      <c r="Q69" s="35"/>
      <c r="R69" s="19"/>
      <c r="S69" s="585"/>
      <c r="T69" s="2"/>
      <c r="W69" s="204"/>
    </row>
    <row r="70" spans="1:23" s="1" customFormat="1" ht="39.75" customHeight="1" x14ac:dyDescent="0.35">
      <c r="A70" s="568"/>
      <c r="B70" s="572"/>
      <c r="C70" s="128"/>
      <c r="D70" s="466" t="s">
        <v>644</v>
      </c>
      <c r="E70" s="20"/>
      <c r="F70" s="127"/>
      <c r="G70" s="126"/>
      <c r="H70" s="18"/>
      <c r="I70" s="18">
        <f>(H68+H69)/2</f>
        <v>100</v>
      </c>
      <c r="J70" s="20"/>
      <c r="K70" s="466" t="s">
        <v>644</v>
      </c>
      <c r="L70" s="20"/>
      <c r="M70" s="124"/>
      <c r="N70" s="124"/>
      <c r="O70" s="18"/>
      <c r="P70" s="18">
        <f>(+O68+O69)/2</f>
        <v>100</v>
      </c>
      <c r="Q70" s="18">
        <f>(I70+P70)/2</f>
        <v>100</v>
      </c>
      <c r="R70" s="465" t="s">
        <v>25</v>
      </c>
      <c r="S70" s="585"/>
      <c r="T70" s="2"/>
      <c r="U70" s="3"/>
    </row>
    <row r="71" spans="1:23" s="1" customFormat="1" ht="48" customHeight="1" x14ac:dyDescent="0.35">
      <c r="A71" s="569"/>
      <c r="B71" s="573"/>
      <c r="C71" s="454" t="s">
        <v>36</v>
      </c>
      <c r="D71" s="59" t="s">
        <v>130</v>
      </c>
      <c r="E71" s="454"/>
      <c r="F71" s="454"/>
      <c r="G71" s="454"/>
      <c r="H71" s="35"/>
      <c r="I71" s="35"/>
      <c r="J71" s="454" t="s">
        <v>36</v>
      </c>
      <c r="K71" s="59" t="s">
        <v>130</v>
      </c>
      <c r="L71" s="19"/>
      <c r="M71" s="19"/>
      <c r="N71" s="19"/>
      <c r="O71" s="35"/>
      <c r="P71" s="35"/>
      <c r="Q71" s="35"/>
      <c r="R71" s="19"/>
      <c r="S71" s="586"/>
      <c r="T71" s="2"/>
      <c r="U71" s="3"/>
    </row>
    <row r="72" spans="1:23" s="1" customFormat="1" ht="48" customHeight="1" x14ac:dyDescent="0.35">
      <c r="A72" s="569"/>
      <c r="B72" s="573"/>
      <c r="C72" s="19" t="s">
        <v>38</v>
      </c>
      <c r="D72" s="41" t="s">
        <v>208</v>
      </c>
      <c r="E72" s="19" t="s">
        <v>18</v>
      </c>
      <c r="F72" s="19">
        <v>100</v>
      </c>
      <c r="G72" s="19">
        <v>100</v>
      </c>
      <c r="H72" s="24">
        <f>IF(G72/F72*100&gt;100,100,G72/F72*100)</f>
        <v>100</v>
      </c>
      <c r="I72" s="19"/>
      <c r="J72" s="19" t="s">
        <v>38</v>
      </c>
      <c r="K72" s="455" t="s">
        <v>223</v>
      </c>
      <c r="L72" s="19" t="s">
        <v>158</v>
      </c>
      <c r="M72" s="19"/>
      <c r="N72" s="19"/>
      <c r="O72" s="24"/>
      <c r="P72" s="468"/>
      <c r="Q72" s="35"/>
      <c r="R72" s="19"/>
      <c r="S72" s="586"/>
      <c r="T72" s="2"/>
      <c r="U72" s="3"/>
    </row>
    <row r="73" spans="1:23" s="1" customFormat="1" ht="68.25" customHeight="1" x14ac:dyDescent="0.35">
      <c r="A73" s="569"/>
      <c r="B73" s="573"/>
      <c r="C73" s="19"/>
      <c r="D73" s="41"/>
      <c r="E73" s="19"/>
      <c r="F73" s="477"/>
      <c r="G73" s="477"/>
      <c r="H73" s="24"/>
      <c r="I73" s="19"/>
      <c r="J73" s="19" t="s">
        <v>234</v>
      </c>
      <c r="K73" s="455" t="s">
        <v>286</v>
      </c>
      <c r="L73" s="19" t="s">
        <v>158</v>
      </c>
      <c r="M73" s="19">
        <v>374</v>
      </c>
      <c r="N73" s="19">
        <v>374</v>
      </c>
      <c r="O73" s="24">
        <f>IF(N73/M73*100&gt;110,110,N73/M73*100)</f>
        <v>100</v>
      </c>
      <c r="P73" s="468"/>
      <c r="Q73" s="35"/>
      <c r="R73" s="19"/>
      <c r="S73" s="586"/>
      <c r="T73" s="2"/>
      <c r="U73" s="3"/>
    </row>
    <row r="74" spans="1:23" s="1" customFormat="1" ht="39.75" customHeight="1" x14ac:dyDescent="0.35">
      <c r="A74" s="570"/>
      <c r="B74" s="574"/>
      <c r="C74" s="20"/>
      <c r="D74" s="466" t="s">
        <v>644</v>
      </c>
      <c r="E74" s="465"/>
      <c r="F74" s="20"/>
      <c r="G74" s="20"/>
      <c r="H74" s="18"/>
      <c r="I74" s="18">
        <f>H72</f>
        <v>100</v>
      </c>
      <c r="J74" s="128"/>
      <c r="K74" s="466" t="s">
        <v>644</v>
      </c>
      <c r="L74" s="20"/>
      <c r="M74" s="124"/>
      <c r="N74" s="124"/>
      <c r="O74" s="18"/>
      <c r="P74" s="18">
        <f>O73</f>
        <v>100</v>
      </c>
      <c r="Q74" s="18">
        <f>(I74+P74)/2</f>
        <v>100</v>
      </c>
      <c r="R74" s="465" t="s">
        <v>25</v>
      </c>
      <c r="S74" s="587"/>
      <c r="T74" s="2"/>
      <c r="U74" s="3"/>
    </row>
    <row r="75" spans="1:23" s="1" customFormat="1" ht="81.75" customHeight="1" x14ac:dyDescent="0.35">
      <c r="A75" s="567">
        <v>5</v>
      </c>
      <c r="B75" s="571" t="s">
        <v>55</v>
      </c>
      <c r="C75" s="454" t="s">
        <v>13</v>
      </c>
      <c r="D75" s="59" t="s">
        <v>14</v>
      </c>
      <c r="E75" s="454"/>
      <c r="F75" s="454"/>
      <c r="G75" s="454"/>
      <c r="H75" s="35"/>
      <c r="I75" s="35"/>
      <c r="J75" s="454" t="s">
        <v>13</v>
      </c>
      <c r="K75" s="59" t="s">
        <v>14</v>
      </c>
      <c r="L75" s="19"/>
      <c r="M75" s="19"/>
      <c r="N75" s="19"/>
      <c r="O75" s="35"/>
      <c r="P75" s="468"/>
      <c r="Q75" s="35"/>
      <c r="R75" s="19"/>
      <c r="S75" s="584" t="s">
        <v>15</v>
      </c>
      <c r="T75" s="2"/>
    </row>
    <row r="76" spans="1:23" s="1" customFormat="1" ht="33" x14ac:dyDescent="0.35">
      <c r="A76" s="568"/>
      <c r="B76" s="572"/>
      <c r="C76" s="19" t="s">
        <v>16</v>
      </c>
      <c r="D76" s="41" t="s">
        <v>17</v>
      </c>
      <c r="E76" s="19" t="s">
        <v>18</v>
      </c>
      <c r="F76" s="19">
        <v>95</v>
      </c>
      <c r="G76" s="19">
        <v>100</v>
      </c>
      <c r="H76" s="24">
        <f>IF(G76/F76*100&gt;100,100,G76/F76*100)</f>
        <v>100</v>
      </c>
      <c r="I76" s="19"/>
      <c r="J76" s="19" t="s">
        <v>16</v>
      </c>
      <c r="K76" s="41" t="s">
        <v>43</v>
      </c>
      <c r="L76" s="19" t="s">
        <v>20</v>
      </c>
      <c r="M76" s="19">
        <v>109</v>
      </c>
      <c r="N76" s="19">
        <v>109</v>
      </c>
      <c r="O76" s="24">
        <f>IF(N76/M76*100&gt;110,110,N76/M76*100)</f>
        <v>100</v>
      </c>
      <c r="P76" s="468"/>
      <c r="Q76" s="35"/>
      <c r="R76" s="19"/>
      <c r="S76" s="585"/>
      <c r="T76" s="2"/>
    </row>
    <row r="77" spans="1:23" s="1" customFormat="1" ht="66.75" customHeight="1" x14ac:dyDescent="0.35">
      <c r="A77" s="568"/>
      <c r="B77" s="572"/>
      <c r="C77" s="19"/>
      <c r="D77" s="41"/>
      <c r="E77" s="19"/>
      <c r="F77" s="19"/>
      <c r="G77" s="19"/>
      <c r="H77" s="24"/>
      <c r="I77" s="19"/>
      <c r="J77" s="19" t="s">
        <v>21</v>
      </c>
      <c r="K77" s="41" t="s">
        <v>29</v>
      </c>
      <c r="L77" s="19" t="s">
        <v>20</v>
      </c>
      <c r="M77" s="19">
        <v>297</v>
      </c>
      <c r="N77" s="19">
        <v>297</v>
      </c>
      <c r="O77" s="24">
        <f>IF(N77/M77*100&gt;110,110,N77/M77*100)</f>
        <v>100</v>
      </c>
      <c r="P77" s="468"/>
      <c r="Q77" s="35"/>
      <c r="R77" s="19"/>
      <c r="S77" s="585"/>
      <c r="T77" s="2"/>
    </row>
    <row r="78" spans="1:23" s="1" customFormat="1" x14ac:dyDescent="0.35">
      <c r="A78" s="568"/>
      <c r="B78" s="572"/>
      <c r="C78" s="19"/>
      <c r="D78" s="41"/>
      <c r="E78" s="19"/>
      <c r="F78" s="19"/>
      <c r="G78" s="19"/>
      <c r="H78" s="24"/>
      <c r="I78" s="19"/>
      <c r="J78" s="19" t="s">
        <v>23</v>
      </c>
      <c r="K78" s="41" t="s">
        <v>56</v>
      </c>
      <c r="L78" s="19" t="s">
        <v>20</v>
      </c>
      <c r="M78" s="19">
        <v>50</v>
      </c>
      <c r="N78" s="19">
        <v>50</v>
      </c>
      <c r="O78" s="24">
        <f>IF(N78/M78*100&gt;110,110,N78/M78*100)</f>
        <v>100</v>
      </c>
      <c r="P78" s="468"/>
      <c r="Q78" s="35"/>
      <c r="R78" s="19"/>
      <c r="S78" s="585"/>
      <c r="T78" s="2"/>
    </row>
    <row r="79" spans="1:23" s="1" customFormat="1" ht="39.75" customHeight="1" x14ac:dyDescent="0.35">
      <c r="A79" s="568"/>
      <c r="B79" s="572"/>
      <c r="C79" s="128"/>
      <c r="D79" s="466" t="s">
        <v>644</v>
      </c>
      <c r="E79" s="20"/>
      <c r="F79" s="127"/>
      <c r="G79" s="126"/>
      <c r="H79" s="18"/>
      <c r="I79" s="18">
        <f>H76</f>
        <v>100</v>
      </c>
      <c r="J79" s="20"/>
      <c r="K79" s="466" t="s">
        <v>644</v>
      </c>
      <c r="L79" s="20"/>
      <c r="M79" s="124"/>
      <c r="N79" s="124"/>
      <c r="O79" s="18"/>
      <c r="P79" s="18">
        <f>(O78+O77+O76)/3</f>
        <v>100</v>
      </c>
      <c r="Q79" s="18">
        <f>(I79+P79)/2</f>
        <v>100</v>
      </c>
      <c r="R79" s="465" t="s">
        <v>25</v>
      </c>
      <c r="S79" s="585"/>
      <c r="T79" s="2"/>
      <c r="U79" s="3"/>
    </row>
    <row r="80" spans="1:23" s="1" customFormat="1" ht="67.5" customHeight="1" x14ac:dyDescent="0.35">
      <c r="A80" s="568"/>
      <c r="B80" s="572"/>
      <c r="C80" s="454" t="s">
        <v>26</v>
      </c>
      <c r="D80" s="59" t="s">
        <v>27</v>
      </c>
      <c r="E80" s="19"/>
      <c r="F80" s="19"/>
      <c r="G80" s="19"/>
      <c r="H80" s="35"/>
      <c r="I80" s="35"/>
      <c r="J80" s="454" t="s">
        <v>26</v>
      </c>
      <c r="K80" s="59" t="s">
        <v>27</v>
      </c>
      <c r="L80" s="19"/>
      <c r="M80" s="476"/>
      <c r="N80" s="476"/>
      <c r="O80" s="35"/>
      <c r="P80" s="468"/>
      <c r="Q80" s="35"/>
      <c r="R80" s="454"/>
      <c r="S80" s="585"/>
      <c r="T80" s="2"/>
    </row>
    <row r="81" spans="1:21" s="1" customFormat="1" ht="33" x14ac:dyDescent="0.35">
      <c r="A81" s="568"/>
      <c r="B81" s="572"/>
      <c r="C81" s="19" t="s">
        <v>28</v>
      </c>
      <c r="D81" s="41" t="s">
        <v>17</v>
      </c>
      <c r="E81" s="19" t="s">
        <v>18</v>
      </c>
      <c r="F81" s="19">
        <v>95</v>
      </c>
      <c r="G81" s="19">
        <v>99.8</v>
      </c>
      <c r="H81" s="24">
        <f>IF(G81/F81*100&gt;100,100,G81/F81*100)</f>
        <v>100</v>
      </c>
      <c r="I81" s="19"/>
      <c r="J81" s="129" t="s">
        <v>28</v>
      </c>
      <c r="K81" s="41" t="s">
        <v>45</v>
      </c>
      <c r="L81" s="19" t="s">
        <v>20</v>
      </c>
      <c r="M81" s="19">
        <v>448</v>
      </c>
      <c r="N81" s="19">
        <v>448</v>
      </c>
      <c r="O81" s="24">
        <f>IF(N81/M81*100&gt;110,110,N81/M81*100)</f>
        <v>100</v>
      </c>
      <c r="P81" s="468"/>
      <c r="Q81" s="35"/>
      <c r="R81" s="19"/>
      <c r="S81" s="585"/>
      <c r="T81" s="2"/>
    </row>
    <row r="82" spans="1:21" s="1" customFormat="1" ht="33" x14ac:dyDescent="0.35">
      <c r="A82" s="568"/>
      <c r="B82" s="572"/>
      <c r="C82" s="19" t="s">
        <v>30</v>
      </c>
      <c r="D82" s="41" t="s">
        <v>31</v>
      </c>
      <c r="E82" s="19" t="s">
        <v>32</v>
      </c>
      <c r="F82" s="19">
        <v>35</v>
      </c>
      <c r="G82" s="19">
        <v>11</v>
      </c>
      <c r="H82" s="24">
        <f>IF(F82/G82*100&gt;100,100,F82/G82*100)</f>
        <v>100</v>
      </c>
      <c r="I82" s="19"/>
      <c r="J82" s="129" t="s">
        <v>30</v>
      </c>
      <c r="K82" s="41" t="s">
        <v>33</v>
      </c>
      <c r="L82" s="19" t="s">
        <v>20</v>
      </c>
      <c r="M82" s="19">
        <v>5</v>
      </c>
      <c r="N82" s="19">
        <v>5</v>
      </c>
      <c r="O82" s="24">
        <f>IF(N82/M82*100&gt;110,110,N82/M82*100)</f>
        <v>100</v>
      </c>
      <c r="P82" s="468"/>
      <c r="Q82" s="35"/>
      <c r="R82" s="19"/>
      <c r="S82" s="585"/>
      <c r="T82" s="2"/>
    </row>
    <row r="83" spans="1:21" s="1" customFormat="1" x14ac:dyDescent="0.35">
      <c r="A83" s="568"/>
      <c r="B83" s="572"/>
      <c r="C83" s="19"/>
      <c r="D83" s="41"/>
      <c r="E83" s="19"/>
      <c r="F83" s="19"/>
      <c r="G83" s="19"/>
      <c r="H83" s="24"/>
      <c r="I83" s="19"/>
      <c r="J83" s="129" t="s">
        <v>34</v>
      </c>
      <c r="K83" s="41" t="s">
        <v>35</v>
      </c>
      <c r="L83" s="19" t="s">
        <v>20</v>
      </c>
      <c r="M83" s="19">
        <v>3</v>
      </c>
      <c r="N83" s="19">
        <v>3</v>
      </c>
      <c r="O83" s="24">
        <f>IF(N83/M83*100&gt;110,110,N83/M83*100)</f>
        <v>100</v>
      </c>
      <c r="P83" s="468"/>
      <c r="Q83" s="35"/>
      <c r="R83" s="19"/>
      <c r="S83" s="585"/>
      <c r="T83" s="2"/>
    </row>
    <row r="84" spans="1:21" s="1" customFormat="1" ht="39.75" customHeight="1" x14ac:dyDescent="0.35">
      <c r="A84" s="568"/>
      <c r="B84" s="572"/>
      <c r="C84" s="128"/>
      <c r="D84" s="466" t="s">
        <v>644</v>
      </c>
      <c r="E84" s="20"/>
      <c r="F84" s="127"/>
      <c r="G84" s="126"/>
      <c r="H84" s="18"/>
      <c r="I84" s="18">
        <f>(H81+H82)/2</f>
        <v>100</v>
      </c>
      <c r="J84" s="20"/>
      <c r="K84" s="466" t="s">
        <v>644</v>
      </c>
      <c r="L84" s="20"/>
      <c r="M84" s="124"/>
      <c r="N84" s="124"/>
      <c r="O84" s="18"/>
      <c r="P84" s="18">
        <f>(O83+O81+O82)/3</f>
        <v>100</v>
      </c>
      <c r="Q84" s="18">
        <f>(I84+P84)/2</f>
        <v>100</v>
      </c>
      <c r="R84" s="465" t="s">
        <v>25</v>
      </c>
      <c r="S84" s="585"/>
      <c r="T84" s="2"/>
      <c r="U84" s="3"/>
    </row>
    <row r="85" spans="1:21" s="1" customFormat="1" ht="69" customHeight="1" x14ac:dyDescent="0.35">
      <c r="A85" s="568"/>
      <c r="B85" s="572"/>
      <c r="C85" s="454" t="s">
        <v>36</v>
      </c>
      <c r="D85" s="59" t="s">
        <v>37</v>
      </c>
      <c r="E85" s="19"/>
      <c r="F85" s="19"/>
      <c r="G85" s="19"/>
      <c r="H85" s="35"/>
      <c r="I85" s="35"/>
      <c r="J85" s="454" t="s">
        <v>36</v>
      </c>
      <c r="K85" s="59" t="str">
        <f>D85</f>
        <v>Предоставление консультационных и методических услуг</v>
      </c>
      <c r="L85" s="19"/>
      <c r="M85" s="122"/>
      <c r="N85" s="122"/>
      <c r="O85" s="35"/>
      <c r="P85" s="468"/>
      <c r="Q85" s="35"/>
      <c r="R85" s="19"/>
      <c r="S85" s="585"/>
      <c r="T85" s="2"/>
    </row>
    <row r="86" spans="1:21" s="1" customFormat="1" ht="33" x14ac:dyDescent="0.35">
      <c r="A86" s="568"/>
      <c r="B86" s="572"/>
      <c r="C86" s="19" t="s">
        <v>38</v>
      </c>
      <c r="D86" s="41" t="s">
        <v>39</v>
      </c>
      <c r="E86" s="19" t="s">
        <v>46</v>
      </c>
      <c r="F86" s="19">
        <v>50</v>
      </c>
      <c r="G86" s="19">
        <v>50</v>
      </c>
      <c r="H86" s="24">
        <f>IF(G86/F86*100&gt;100,100,G86/F86*100)</f>
        <v>100</v>
      </c>
      <c r="I86" s="19"/>
      <c r="J86" s="129" t="s">
        <v>38</v>
      </c>
      <c r="K86" s="41" t="s">
        <v>40</v>
      </c>
      <c r="L86" s="19" t="s">
        <v>41</v>
      </c>
      <c r="M86" s="122">
        <v>100</v>
      </c>
      <c r="N86" s="122">
        <v>100</v>
      </c>
      <c r="O86" s="24">
        <f>IF(N86/M86*100&gt;110,110,N86/M86*100)</f>
        <v>100</v>
      </c>
      <c r="P86" s="468"/>
      <c r="Q86" s="35"/>
      <c r="R86" s="19"/>
      <c r="S86" s="585"/>
      <c r="T86" s="2"/>
    </row>
    <row r="87" spans="1:21" s="1" customFormat="1" ht="40.5" customHeight="1" x14ac:dyDescent="0.35">
      <c r="A87" s="568"/>
      <c r="B87" s="572"/>
      <c r="C87" s="465"/>
      <c r="D87" s="466" t="s">
        <v>644</v>
      </c>
      <c r="E87" s="465"/>
      <c r="F87" s="20"/>
      <c r="G87" s="20"/>
      <c r="H87" s="18"/>
      <c r="I87" s="18">
        <f>H86</f>
        <v>100</v>
      </c>
      <c r="J87" s="128"/>
      <c r="K87" s="466" t="s">
        <v>644</v>
      </c>
      <c r="L87" s="20"/>
      <c r="M87" s="124"/>
      <c r="N87" s="124"/>
      <c r="O87" s="18"/>
      <c r="P87" s="18">
        <f>O86</f>
        <v>100</v>
      </c>
      <c r="Q87" s="18">
        <f>(I87+P87)/2</f>
        <v>100</v>
      </c>
      <c r="R87" s="465" t="s">
        <v>25</v>
      </c>
      <c r="S87" s="585"/>
      <c r="T87" s="2"/>
    </row>
    <row r="88" spans="1:21" s="1" customFormat="1" ht="53.25" customHeight="1" x14ac:dyDescent="0.35">
      <c r="A88" s="569"/>
      <c r="B88" s="573"/>
      <c r="C88" s="454" t="s">
        <v>123</v>
      </c>
      <c r="D88" s="59" t="s">
        <v>130</v>
      </c>
      <c r="E88" s="454"/>
      <c r="F88" s="454"/>
      <c r="G88" s="454"/>
      <c r="H88" s="35"/>
      <c r="I88" s="35"/>
      <c r="J88" s="454" t="s">
        <v>123</v>
      </c>
      <c r="K88" s="59" t="s">
        <v>130</v>
      </c>
      <c r="L88" s="19"/>
      <c r="M88" s="19"/>
      <c r="N88" s="19"/>
      <c r="O88" s="35"/>
      <c r="P88" s="35"/>
      <c r="Q88" s="35"/>
      <c r="R88" s="19"/>
      <c r="S88" s="586"/>
      <c r="T88" s="2"/>
    </row>
    <row r="89" spans="1:21" s="1" customFormat="1" ht="53.25" customHeight="1" x14ac:dyDescent="0.35">
      <c r="A89" s="569"/>
      <c r="B89" s="573"/>
      <c r="C89" s="19" t="s">
        <v>124</v>
      </c>
      <c r="D89" s="41" t="s">
        <v>208</v>
      </c>
      <c r="E89" s="19" t="s">
        <v>18</v>
      </c>
      <c r="F89" s="19">
        <v>100</v>
      </c>
      <c r="G89" s="19">
        <v>100</v>
      </c>
      <c r="H89" s="24">
        <f>IF(G89/F89*100&gt;100,100,G89/F89*100)</f>
        <v>100</v>
      </c>
      <c r="I89" s="19"/>
      <c r="J89" s="19" t="s">
        <v>124</v>
      </c>
      <c r="K89" s="455" t="s">
        <v>223</v>
      </c>
      <c r="L89" s="19" t="s">
        <v>158</v>
      </c>
      <c r="M89" s="19"/>
      <c r="N89" s="19"/>
      <c r="O89" s="24"/>
      <c r="P89" s="468"/>
      <c r="Q89" s="35"/>
      <c r="R89" s="19"/>
      <c r="S89" s="586"/>
      <c r="T89" s="2"/>
    </row>
    <row r="90" spans="1:21" s="1" customFormat="1" ht="40.5" customHeight="1" x14ac:dyDescent="0.35">
      <c r="A90" s="569"/>
      <c r="B90" s="573"/>
      <c r="C90" s="19"/>
      <c r="D90" s="41"/>
      <c r="E90" s="19"/>
      <c r="F90" s="477"/>
      <c r="G90" s="477"/>
      <c r="H90" s="24"/>
      <c r="I90" s="19"/>
      <c r="J90" s="19" t="s">
        <v>284</v>
      </c>
      <c r="K90" s="455" t="s">
        <v>285</v>
      </c>
      <c r="L90" s="19" t="s">
        <v>158</v>
      </c>
      <c r="M90" s="19">
        <v>374</v>
      </c>
      <c r="N90" s="19">
        <v>374</v>
      </c>
      <c r="O90" s="24">
        <f>IF(N90/M90*100&gt;110,110,N90/M90*100)</f>
        <v>100</v>
      </c>
      <c r="P90" s="468"/>
      <c r="Q90" s="35"/>
      <c r="R90" s="19"/>
      <c r="S90" s="586"/>
      <c r="T90" s="2"/>
    </row>
    <row r="91" spans="1:21" s="1" customFormat="1" ht="48.75" customHeight="1" x14ac:dyDescent="0.35">
      <c r="A91" s="570"/>
      <c r="B91" s="574"/>
      <c r="C91" s="20"/>
      <c r="D91" s="466" t="s">
        <v>644</v>
      </c>
      <c r="E91" s="465"/>
      <c r="F91" s="20"/>
      <c r="G91" s="20"/>
      <c r="H91" s="18"/>
      <c r="I91" s="18">
        <f>H89</f>
        <v>100</v>
      </c>
      <c r="J91" s="128"/>
      <c r="K91" s="466" t="s">
        <v>644</v>
      </c>
      <c r="L91" s="20"/>
      <c r="M91" s="124"/>
      <c r="N91" s="124"/>
      <c r="O91" s="18"/>
      <c r="P91" s="18">
        <f>O90</f>
        <v>100</v>
      </c>
      <c r="Q91" s="18">
        <f>(I91+P91)/2</f>
        <v>100</v>
      </c>
      <c r="R91" s="465" t="s">
        <v>25</v>
      </c>
      <c r="S91" s="587"/>
      <c r="T91" s="2"/>
    </row>
    <row r="92" spans="1:21" s="1" customFormat="1" ht="74.25" customHeight="1" x14ac:dyDescent="0.35">
      <c r="A92" s="567">
        <v>6</v>
      </c>
      <c r="B92" s="571" t="s">
        <v>58</v>
      </c>
      <c r="C92" s="454" t="s">
        <v>13</v>
      </c>
      <c r="D92" s="59" t="s">
        <v>14</v>
      </c>
      <c r="E92" s="454"/>
      <c r="F92" s="454"/>
      <c r="G92" s="454"/>
      <c r="H92" s="35"/>
      <c r="I92" s="35"/>
      <c r="J92" s="454" t="s">
        <v>13</v>
      </c>
      <c r="K92" s="59" t="s">
        <v>14</v>
      </c>
      <c r="L92" s="19"/>
      <c r="M92" s="19"/>
      <c r="N92" s="19"/>
      <c r="O92" s="35"/>
      <c r="P92" s="468"/>
      <c r="Q92" s="35"/>
      <c r="R92" s="19"/>
      <c r="S92" s="584" t="s">
        <v>15</v>
      </c>
      <c r="T92" s="2"/>
    </row>
    <row r="93" spans="1:21" s="1" customFormat="1" ht="33" x14ac:dyDescent="0.35">
      <c r="A93" s="568"/>
      <c r="B93" s="572"/>
      <c r="C93" s="19" t="s">
        <v>16</v>
      </c>
      <c r="D93" s="41" t="s">
        <v>17</v>
      </c>
      <c r="E93" s="19" t="s">
        <v>18</v>
      </c>
      <c r="F93" s="19">
        <v>95</v>
      </c>
      <c r="G93" s="19">
        <v>97.6</v>
      </c>
      <c r="H93" s="24">
        <f>IF(G93/F93*100&gt;100,100,G93/F93*100)</f>
        <v>100</v>
      </c>
      <c r="I93" s="19"/>
      <c r="J93" s="19" t="s">
        <v>16</v>
      </c>
      <c r="K93" s="41" t="s">
        <v>43</v>
      </c>
      <c r="L93" s="19" t="s">
        <v>20</v>
      </c>
      <c r="M93" s="19">
        <v>53</v>
      </c>
      <c r="N93" s="19">
        <v>53</v>
      </c>
      <c r="O93" s="24">
        <f>IF(N93/M93*100&gt;110,110,N93/M93*100)</f>
        <v>100</v>
      </c>
      <c r="P93" s="468"/>
      <c r="Q93" s="35"/>
      <c r="R93" s="19"/>
      <c r="S93" s="585"/>
      <c r="T93" s="2"/>
    </row>
    <row r="94" spans="1:21" s="1" customFormat="1" ht="33" x14ac:dyDescent="0.35">
      <c r="A94" s="568"/>
      <c r="B94" s="572"/>
      <c r="C94" s="19"/>
      <c r="D94" s="41"/>
      <c r="E94" s="19"/>
      <c r="F94" s="19"/>
      <c r="G94" s="19"/>
      <c r="H94" s="24"/>
      <c r="I94" s="19"/>
      <c r="J94" s="19" t="s">
        <v>21</v>
      </c>
      <c r="K94" s="41" t="s">
        <v>29</v>
      </c>
      <c r="L94" s="19" t="s">
        <v>20</v>
      </c>
      <c r="M94" s="19">
        <v>107</v>
      </c>
      <c r="N94" s="19">
        <v>107</v>
      </c>
      <c r="O94" s="24">
        <f>IF(N94/M94*100&gt;110,110,N94/M94*100)</f>
        <v>100</v>
      </c>
      <c r="P94" s="468"/>
      <c r="Q94" s="35"/>
      <c r="R94" s="19"/>
      <c r="S94" s="585"/>
      <c r="T94" s="2"/>
    </row>
    <row r="95" spans="1:21" s="1" customFormat="1" ht="65.25" customHeight="1" x14ac:dyDescent="0.35">
      <c r="A95" s="568"/>
      <c r="B95" s="572"/>
      <c r="C95" s="19"/>
      <c r="D95" s="41"/>
      <c r="E95" s="19"/>
      <c r="F95" s="19"/>
      <c r="G95" s="19"/>
      <c r="H95" s="24"/>
      <c r="I95" s="19"/>
      <c r="J95" s="19" t="s">
        <v>23</v>
      </c>
      <c r="K95" s="41" t="s">
        <v>44</v>
      </c>
      <c r="L95" s="19" t="s">
        <v>20</v>
      </c>
      <c r="M95" s="19">
        <v>21</v>
      </c>
      <c r="N95" s="19">
        <v>21</v>
      </c>
      <c r="O95" s="24">
        <f>IF(N95/M95*100&gt;110,110,N95/M95*100)</f>
        <v>100</v>
      </c>
      <c r="P95" s="468"/>
      <c r="Q95" s="35"/>
      <c r="R95" s="19"/>
      <c r="S95" s="585"/>
      <c r="T95" s="2"/>
    </row>
    <row r="96" spans="1:21" s="1" customFormat="1" ht="51.75" customHeight="1" x14ac:dyDescent="0.35">
      <c r="A96" s="568"/>
      <c r="B96" s="572"/>
      <c r="C96" s="128"/>
      <c r="D96" s="466" t="s">
        <v>644</v>
      </c>
      <c r="E96" s="20"/>
      <c r="F96" s="127"/>
      <c r="G96" s="126"/>
      <c r="H96" s="18"/>
      <c r="I96" s="18">
        <f>H93</f>
        <v>100</v>
      </c>
      <c r="J96" s="20"/>
      <c r="K96" s="466" t="s">
        <v>644</v>
      </c>
      <c r="L96" s="20"/>
      <c r="M96" s="124"/>
      <c r="N96" s="124"/>
      <c r="O96" s="18"/>
      <c r="P96" s="18">
        <f>(O95+O93+O94)/3</f>
        <v>100</v>
      </c>
      <c r="Q96" s="18">
        <f>(I96+P96)/2</f>
        <v>100</v>
      </c>
      <c r="R96" s="465" t="s">
        <v>25</v>
      </c>
      <c r="S96" s="585"/>
      <c r="T96" s="2"/>
      <c r="U96" s="3"/>
    </row>
    <row r="97" spans="1:21" s="1" customFormat="1" ht="47.25" customHeight="1" x14ac:dyDescent="0.35">
      <c r="A97" s="568"/>
      <c r="B97" s="572"/>
      <c r="C97" s="454" t="s">
        <v>26</v>
      </c>
      <c r="D97" s="59" t="s">
        <v>27</v>
      </c>
      <c r="E97" s="19"/>
      <c r="F97" s="19"/>
      <c r="G97" s="19"/>
      <c r="H97" s="35"/>
      <c r="I97" s="35"/>
      <c r="J97" s="454" t="s">
        <v>26</v>
      </c>
      <c r="K97" s="59" t="s">
        <v>27</v>
      </c>
      <c r="L97" s="19"/>
      <c r="M97" s="476"/>
      <c r="N97" s="476"/>
      <c r="O97" s="35"/>
      <c r="P97" s="468"/>
      <c r="Q97" s="35"/>
      <c r="R97" s="19"/>
      <c r="S97" s="585"/>
      <c r="T97" s="2"/>
    </row>
    <row r="98" spans="1:21" s="1" customFormat="1" ht="33" x14ac:dyDescent="0.35">
      <c r="A98" s="568"/>
      <c r="B98" s="572"/>
      <c r="C98" s="19" t="s">
        <v>28</v>
      </c>
      <c r="D98" s="41" t="s">
        <v>17</v>
      </c>
      <c r="E98" s="19" t="s">
        <v>18</v>
      </c>
      <c r="F98" s="19">
        <v>95</v>
      </c>
      <c r="G98" s="19">
        <v>99.5</v>
      </c>
      <c r="H98" s="24">
        <f>IF(G98/F98*100&gt;100,100,G98/F98*100)</f>
        <v>100</v>
      </c>
      <c r="I98" s="19"/>
      <c r="J98" s="19" t="s">
        <v>28</v>
      </c>
      <c r="K98" s="41" t="s">
        <v>45</v>
      </c>
      <c r="L98" s="19" t="s">
        <v>20</v>
      </c>
      <c r="M98" s="19">
        <v>180</v>
      </c>
      <c r="N98" s="19">
        <v>180</v>
      </c>
      <c r="O98" s="24">
        <f>IF(N98/M98*100&gt;110,110,N98/M98*100)</f>
        <v>100</v>
      </c>
      <c r="P98" s="468"/>
      <c r="Q98" s="35"/>
      <c r="R98" s="19"/>
      <c r="S98" s="585"/>
      <c r="T98" s="2"/>
    </row>
    <row r="99" spans="1:21" s="1" customFormat="1" ht="33" x14ac:dyDescent="0.35">
      <c r="A99" s="568"/>
      <c r="B99" s="572"/>
      <c r="C99" s="19" t="s">
        <v>30</v>
      </c>
      <c r="D99" s="41" t="s">
        <v>31</v>
      </c>
      <c r="E99" s="19" t="s">
        <v>32</v>
      </c>
      <c r="F99" s="19">
        <v>35</v>
      </c>
      <c r="G99" s="19">
        <v>28.4</v>
      </c>
      <c r="H99" s="24">
        <f>IF(F99/G99*100&gt;100,100,F99/G99*100)</f>
        <v>100</v>
      </c>
      <c r="I99" s="19"/>
      <c r="J99" s="19" t="s">
        <v>30</v>
      </c>
      <c r="K99" s="41" t="s">
        <v>35</v>
      </c>
      <c r="L99" s="19" t="s">
        <v>20</v>
      </c>
      <c r="M99" s="19">
        <v>1</v>
      </c>
      <c r="N99" s="19">
        <v>1</v>
      </c>
      <c r="O99" s="24">
        <f>IF(N99/M99*100&gt;110,110,N99/M99*100)</f>
        <v>100</v>
      </c>
      <c r="P99" s="468"/>
      <c r="Q99" s="35"/>
      <c r="R99" s="19"/>
      <c r="S99" s="585"/>
      <c r="T99" s="2"/>
    </row>
    <row r="100" spans="1:21" s="1" customFormat="1" ht="51" customHeight="1" x14ac:dyDescent="0.35">
      <c r="A100" s="568"/>
      <c r="B100" s="572"/>
      <c r="C100" s="128"/>
      <c r="D100" s="466" t="s">
        <v>644</v>
      </c>
      <c r="E100" s="20"/>
      <c r="F100" s="127"/>
      <c r="G100" s="126"/>
      <c r="H100" s="18"/>
      <c r="I100" s="18">
        <f>(H98+H99)/2</f>
        <v>100</v>
      </c>
      <c r="J100" s="20"/>
      <c r="K100" s="466" t="s">
        <v>644</v>
      </c>
      <c r="L100" s="20"/>
      <c r="M100" s="124"/>
      <c r="N100" s="124"/>
      <c r="O100" s="18"/>
      <c r="P100" s="18">
        <f>(O98)/1</f>
        <v>100</v>
      </c>
      <c r="Q100" s="18">
        <f>(I100+P100)/2</f>
        <v>100</v>
      </c>
      <c r="R100" s="465" t="s">
        <v>25</v>
      </c>
      <c r="S100" s="585"/>
      <c r="T100" s="2"/>
      <c r="U100" s="3"/>
    </row>
    <row r="101" spans="1:21" s="1" customFormat="1" ht="60.75" customHeight="1" x14ac:dyDescent="0.35">
      <c r="A101" s="568"/>
      <c r="B101" s="573"/>
      <c r="C101" s="454" t="s">
        <v>36</v>
      </c>
      <c r="D101" s="59" t="s">
        <v>130</v>
      </c>
      <c r="E101" s="454"/>
      <c r="F101" s="454"/>
      <c r="G101" s="454"/>
      <c r="H101" s="35"/>
      <c r="I101" s="35"/>
      <c r="J101" s="454" t="s">
        <v>36</v>
      </c>
      <c r="K101" s="59" t="s">
        <v>130</v>
      </c>
      <c r="L101" s="19"/>
      <c r="M101" s="19"/>
      <c r="N101" s="19"/>
      <c r="O101" s="35"/>
      <c r="P101" s="35"/>
      <c r="Q101" s="35"/>
      <c r="R101" s="19"/>
      <c r="S101" s="585"/>
      <c r="T101" s="2"/>
      <c r="U101" s="3"/>
    </row>
    <row r="102" spans="1:21" s="1" customFormat="1" ht="46.5" customHeight="1" x14ac:dyDescent="0.35">
      <c r="A102" s="568"/>
      <c r="B102" s="573"/>
      <c r="C102" s="19" t="s">
        <v>38</v>
      </c>
      <c r="D102" s="41" t="s">
        <v>208</v>
      </c>
      <c r="E102" s="19" t="s">
        <v>18</v>
      </c>
      <c r="F102" s="19">
        <v>100</v>
      </c>
      <c r="G102" s="19">
        <v>100</v>
      </c>
      <c r="H102" s="24">
        <f>IF(G102/F102*100&gt;100,100,G102/F102*100)</f>
        <v>100</v>
      </c>
      <c r="I102" s="19"/>
      <c r="J102" s="19" t="s">
        <v>38</v>
      </c>
      <c r="K102" s="455" t="s">
        <v>223</v>
      </c>
      <c r="L102" s="19" t="s">
        <v>158</v>
      </c>
      <c r="M102" s="19"/>
      <c r="N102" s="19"/>
      <c r="O102" s="24"/>
      <c r="P102" s="468"/>
      <c r="Q102" s="35"/>
      <c r="R102" s="19"/>
      <c r="S102" s="585"/>
      <c r="T102" s="2"/>
      <c r="U102" s="3"/>
    </row>
    <row r="103" spans="1:21" s="1" customFormat="1" ht="44.25" customHeight="1" x14ac:dyDescent="0.35">
      <c r="A103" s="568"/>
      <c r="B103" s="573"/>
      <c r="C103" s="19"/>
      <c r="D103" s="41"/>
      <c r="E103" s="19"/>
      <c r="F103" s="477"/>
      <c r="G103" s="477"/>
      <c r="H103" s="24"/>
      <c r="I103" s="19"/>
      <c r="J103" s="19" t="s">
        <v>234</v>
      </c>
      <c r="K103" s="455" t="s">
        <v>286</v>
      </c>
      <c r="L103" s="19" t="s">
        <v>158</v>
      </c>
      <c r="M103" s="19">
        <v>374</v>
      </c>
      <c r="N103" s="19">
        <v>374</v>
      </c>
      <c r="O103" s="24">
        <f>IF(N103/M103*100&gt;110,110,N103/M103*100)</f>
        <v>100</v>
      </c>
      <c r="P103" s="468"/>
      <c r="Q103" s="35"/>
      <c r="R103" s="19"/>
      <c r="S103" s="585"/>
      <c r="T103" s="2"/>
      <c r="U103" s="3"/>
    </row>
    <row r="104" spans="1:21" s="1" customFormat="1" ht="46.5" customHeight="1" x14ac:dyDescent="0.35">
      <c r="A104" s="582"/>
      <c r="B104" s="574"/>
      <c r="C104" s="20"/>
      <c r="D104" s="466" t="s">
        <v>644</v>
      </c>
      <c r="E104" s="465"/>
      <c r="F104" s="20"/>
      <c r="G104" s="20"/>
      <c r="H104" s="18"/>
      <c r="I104" s="18">
        <f>H102</f>
        <v>100</v>
      </c>
      <c r="J104" s="128"/>
      <c r="K104" s="466" t="s">
        <v>644</v>
      </c>
      <c r="L104" s="20"/>
      <c r="M104" s="124"/>
      <c r="N104" s="124"/>
      <c r="O104" s="18"/>
      <c r="P104" s="18">
        <f>O103</f>
        <v>100</v>
      </c>
      <c r="Q104" s="18">
        <f>(I104+P104)/2</f>
        <v>100</v>
      </c>
      <c r="R104" s="465" t="s">
        <v>25</v>
      </c>
      <c r="S104" s="602"/>
      <c r="T104" s="2"/>
      <c r="U104" s="3"/>
    </row>
    <row r="105" spans="1:21" s="1" customFormat="1" ht="84.75" customHeight="1" x14ac:dyDescent="0.35">
      <c r="A105" s="567">
        <v>7</v>
      </c>
      <c r="B105" s="571" t="s">
        <v>60</v>
      </c>
      <c r="C105" s="454" t="s">
        <v>13</v>
      </c>
      <c r="D105" s="59" t="s">
        <v>14</v>
      </c>
      <c r="E105" s="454"/>
      <c r="F105" s="454"/>
      <c r="G105" s="454"/>
      <c r="H105" s="35"/>
      <c r="I105" s="35"/>
      <c r="J105" s="454" t="s">
        <v>13</v>
      </c>
      <c r="K105" s="59" t="s">
        <v>14</v>
      </c>
      <c r="L105" s="19"/>
      <c r="M105" s="19"/>
      <c r="N105" s="19"/>
      <c r="O105" s="35"/>
      <c r="P105" s="468"/>
      <c r="Q105" s="35"/>
      <c r="R105" s="19"/>
      <c r="S105" s="584" t="s">
        <v>15</v>
      </c>
      <c r="T105" s="2"/>
    </row>
    <row r="106" spans="1:21" s="1" customFormat="1" ht="33" x14ac:dyDescent="0.35">
      <c r="A106" s="568"/>
      <c r="B106" s="572"/>
      <c r="C106" s="19" t="s">
        <v>16</v>
      </c>
      <c r="D106" s="41" t="s">
        <v>17</v>
      </c>
      <c r="E106" s="19" t="s">
        <v>18</v>
      </c>
      <c r="F106" s="19">
        <v>95</v>
      </c>
      <c r="G106" s="19">
        <v>95</v>
      </c>
      <c r="H106" s="24">
        <f>IF(G106/F106*100&gt;100,100,G106/F106*100)</f>
        <v>100</v>
      </c>
      <c r="I106" s="19"/>
      <c r="J106" s="19" t="s">
        <v>16</v>
      </c>
      <c r="K106" s="41" t="s">
        <v>43</v>
      </c>
      <c r="L106" s="19" t="s">
        <v>20</v>
      </c>
      <c r="M106" s="19">
        <v>87</v>
      </c>
      <c r="N106" s="19">
        <v>87</v>
      </c>
      <c r="O106" s="24">
        <f>IF(N106/M106*100&gt;110,110,N106/M106*100)</f>
        <v>100</v>
      </c>
      <c r="P106" s="468"/>
      <c r="Q106" s="35"/>
      <c r="R106" s="19"/>
      <c r="S106" s="585"/>
      <c r="T106" s="2"/>
    </row>
    <row r="107" spans="1:21" s="1" customFormat="1" ht="63.75" customHeight="1" x14ac:dyDescent="0.35">
      <c r="A107" s="568"/>
      <c r="B107" s="572"/>
      <c r="C107" s="19"/>
      <c r="D107" s="41"/>
      <c r="E107" s="19"/>
      <c r="F107" s="19"/>
      <c r="G107" s="19"/>
      <c r="H107" s="24"/>
      <c r="I107" s="19"/>
      <c r="J107" s="19" t="s">
        <v>21</v>
      </c>
      <c r="K107" s="41" t="s">
        <v>56</v>
      </c>
      <c r="L107" s="19" t="s">
        <v>20</v>
      </c>
      <c r="M107" s="19">
        <v>3</v>
      </c>
      <c r="N107" s="19">
        <v>3</v>
      </c>
      <c r="O107" s="24">
        <f>IF(N107/M107*100&gt;110,110,N107/M107*100)</f>
        <v>100</v>
      </c>
      <c r="P107" s="468"/>
      <c r="Q107" s="35"/>
      <c r="R107" s="19"/>
      <c r="S107" s="585"/>
      <c r="T107" s="2"/>
    </row>
    <row r="108" spans="1:21" s="1" customFormat="1" ht="33" x14ac:dyDescent="0.35">
      <c r="A108" s="568"/>
      <c r="B108" s="572"/>
      <c r="C108" s="19"/>
      <c r="D108" s="41"/>
      <c r="E108" s="19"/>
      <c r="F108" s="19"/>
      <c r="G108" s="19"/>
      <c r="H108" s="24"/>
      <c r="I108" s="19"/>
      <c r="J108" s="19" t="s">
        <v>23</v>
      </c>
      <c r="K108" s="41" t="s">
        <v>29</v>
      </c>
      <c r="L108" s="19" t="s">
        <v>20</v>
      </c>
      <c r="M108" s="19">
        <v>222</v>
      </c>
      <c r="N108" s="19">
        <v>222</v>
      </c>
      <c r="O108" s="24">
        <f>IF(N108/M108*100&gt;110,110,N108/M108*100)</f>
        <v>100</v>
      </c>
      <c r="P108" s="468"/>
      <c r="Q108" s="35"/>
      <c r="R108" s="19"/>
      <c r="S108" s="585"/>
      <c r="T108" s="2"/>
    </row>
    <row r="109" spans="1:21" s="1" customFormat="1" ht="46.5" customHeight="1" x14ac:dyDescent="0.35">
      <c r="A109" s="568"/>
      <c r="B109" s="572"/>
      <c r="C109" s="128"/>
      <c r="D109" s="466" t="s">
        <v>644</v>
      </c>
      <c r="E109" s="20"/>
      <c r="F109" s="127"/>
      <c r="G109" s="126"/>
      <c r="H109" s="18"/>
      <c r="I109" s="18">
        <f>H106</f>
        <v>100</v>
      </c>
      <c r="J109" s="20"/>
      <c r="K109" s="466" t="s">
        <v>644</v>
      </c>
      <c r="L109" s="20"/>
      <c r="M109" s="124"/>
      <c r="N109" s="124"/>
      <c r="O109" s="18"/>
      <c r="P109" s="18">
        <f>(O106+O108)/2</f>
        <v>100</v>
      </c>
      <c r="Q109" s="18">
        <f>(I109+P109)/2</f>
        <v>100</v>
      </c>
      <c r="R109" s="465" t="s">
        <v>25</v>
      </c>
      <c r="S109" s="585"/>
      <c r="T109" s="2"/>
      <c r="U109" s="3"/>
    </row>
    <row r="110" spans="1:21" s="1" customFormat="1" ht="40.5" customHeight="1" x14ac:dyDescent="0.35">
      <c r="A110" s="568"/>
      <c r="B110" s="572"/>
      <c r="C110" s="454" t="s">
        <v>26</v>
      </c>
      <c r="D110" s="59" t="s">
        <v>27</v>
      </c>
      <c r="E110" s="19"/>
      <c r="F110" s="19"/>
      <c r="G110" s="19"/>
      <c r="H110" s="35"/>
      <c r="I110" s="35"/>
      <c r="J110" s="454" t="s">
        <v>26</v>
      </c>
      <c r="K110" s="59" t="s">
        <v>27</v>
      </c>
      <c r="L110" s="19"/>
      <c r="M110" s="476"/>
      <c r="N110" s="476"/>
      <c r="O110" s="35"/>
      <c r="P110" s="468"/>
      <c r="Q110" s="35"/>
      <c r="R110" s="19"/>
      <c r="S110" s="585"/>
      <c r="T110" s="2"/>
    </row>
    <row r="111" spans="1:21" s="1" customFormat="1" x14ac:dyDescent="0.35">
      <c r="A111" s="568"/>
      <c r="B111" s="572"/>
      <c r="C111" s="575" t="s">
        <v>28</v>
      </c>
      <c r="D111" s="580" t="s">
        <v>17</v>
      </c>
      <c r="E111" s="575" t="s">
        <v>18</v>
      </c>
      <c r="F111" s="575">
        <v>95</v>
      </c>
      <c r="G111" s="575">
        <v>95</v>
      </c>
      <c r="H111" s="577">
        <f>IF(G111/F111*100&gt;100,100,G111/F111*100)</f>
        <v>100</v>
      </c>
      <c r="I111" s="575"/>
      <c r="J111" s="129" t="s">
        <v>28</v>
      </c>
      <c r="K111" s="41" t="s">
        <v>53</v>
      </c>
      <c r="L111" s="19" t="s">
        <v>20</v>
      </c>
      <c r="M111" s="19">
        <v>310</v>
      </c>
      <c r="N111" s="19">
        <v>310</v>
      </c>
      <c r="O111" s="24">
        <f>IF(N111/M111*100&gt;110,110,N111/M111*100)</f>
        <v>100</v>
      </c>
      <c r="P111" s="468"/>
      <c r="Q111" s="35"/>
      <c r="R111" s="19"/>
      <c r="S111" s="585"/>
      <c r="T111" s="2"/>
    </row>
    <row r="112" spans="1:21" s="1" customFormat="1" ht="44.25" customHeight="1" x14ac:dyDescent="0.35">
      <c r="A112" s="568"/>
      <c r="B112" s="572"/>
      <c r="C112" s="576"/>
      <c r="D112" s="601"/>
      <c r="E112" s="576"/>
      <c r="F112" s="576"/>
      <c r="G112" s="576"/>
      <c r="H112" s="576"/>
      <c r="I112" s="576"/>
      <c r="J112" s="129" t="s">
        <v>30</v>
      </c>
      <c r="K112" s="41" t="s">
        <v>33</v>
      </c>
      <c r="L112" s="19" t="s">
        <v>20</v>
      </c>
      <c r="M112" s="19">
        <v>1</v>
      </c>
      <c r="N112" s="19">
        <v>1</v>
      </c>
      <c r="O112" s="24">
        <f>IF(N112/M112*100&gt;110,110,N112/M112*100)</f>
        <v>100</v>
      </c>
      <c r="P112" s="468"/>
      <c r="Q112" s="35"/>
      <c r="R112" s="19"/>
      <c r="S112" s="585"/>
      <c r="T112" s="2"/>
    </row>
    <row r="113" spans="1:21" s="1" customFormat="1" ht="33" x14ac:dyDescent="0.35">
      <c r="A113" s="568"/>
      <c r="B113" s="572"/>
      <c r="C113" s="19" t="s">
        <v>30</v>
      </c>
      <c r="D113" s="41" t="s">
        <v>31</v>
      </c>
      <c r="E113" s="19" t="s">
        <v>32</v>
      </c>
      <c r="F113" s="19">
        <v>35</v>
      </c>
      <c r="G113" s="19">
        <v>7.2</v>
      </c>
      <c r="H113" s="24">
        <f>IF(F113/G113*100&gt;100,100,F113/G113*100)</f>
        <v>100</v>
      </c>
      <c r="I113" s="19"/>
      <c r="J113" s="129" t="s">
        <v>34</v>
      </c>
      <c r="K113" s="41" t="s">
        <v>35</v>
      </c>
      <c r="L113" s="19" t="s">
        <v>20</v>
      </c>
      <c r="M113" s="19">
        <v>1</v>
      </c>
      <c r="N113" s="19">
        <v>1</v>
      </c>
      <c r="O113" s="24">
        <f>IF(N113/M113*100&gt;110,110,N113/M113*100)</f>
        <v>100</v>
      </c>
      <c r="P113" s="468"/>
      <c r="Q113" s="35"/>
      <c r="R113" s="19"/>
      <c r="S113" s="585"/>
      <c r="T113" s="2"/>
    </row>
    <row r="114" spans="1:21" s="1" customFormat="1" ht="43.5" customHeight="1" x14ac:dyDescent="0.35">
      <c r="A114" s="568"/>
      <c r="B114" s="572"/>
      <c r="C114" s="128"/>
      <c r="D114" s="466" t="s">
        <v>644</v>
      </c>
      <c r="E114" s="20"/>
      <c r="F114" s="127"/>
      <c r="G114" s="126"/>
      <c r="H114" s="18"/>
      <c r="I114" s="18">
        <f>(H111+H113)/2</f>
        <v>100</v>
      </c>
      <c r="J114" s="20"/>
      <c r="K114" s="466" t="s">
        <v>644</v>
      </c>
      <c r="L114" s="20"/>
      <c r="M114" s="124"/>
      <c r="N114" s="124"/>
      <c r="O114" s="18"/>
      <c r="P114" s="18">
        <f>(O111+O113)/2</f>
        <v>100</v>
      </c>
      <c r="Q114" s="18">
        <f>(I114+P114)/2</f>
        <v>100</v>
      </c>
      <c r="R114" s="465" t="s">
        <v>25</v>
      </c>
      <c r="S114" s="585"/>
      <c r="T114" s="2"/>
      <c r="U114" s="3"/>
    </row>
    <row r="115" spans="1:21" s="1" customFormat="1" ht="56.25" customHeight="1" x14ac:dyDescent="0.35">
      <c r="A115" s="569"/>
      <c r="B115" s="573"/>
      <c r="C115" s="454" t="s">
        <v>36</v>
      </c>
      <c r="D115" s="59" t="s">
        <v>130</v>
      </c>
      <c r="E115" s="454"/>
      <c r="F115" s="454"/>
      <c r="G115" s="454"/>
      <c r="H115" s="35"/>
      <c r="I115" s="35"/>
      <c r="J115" s="454" t="s">
        <v>36</v>
      </c>
      <c r="K115" s="59" t="s">
        <v>130</v>
      </c>
      <c r="L115" s="19"/>
      <c r="M115" s="19"/>
      <c r="N115" s="19"/>
      <c r="O115" s="35"/>
      <c r="P115" s="35"/>
      <c r="Q115" s="35"/>
      <c r="R115" s="19"/>
      <c r="S115" s="586"/>
      <c r="T115" s="2"/>
      <c r="U115" s="3"/>
    </row>
    <row r="116" spans="1:21" s="1" customFormat="1" ht="56.25" customHeight="1" x14ac:dyDescent="0.35">
      <c r="A116" s="569"/>
      <c r="B116" s="573"/>
      <c r="C116" s="19" t="s">
        <v>38</v>
      </c>
      <c r="D116" s="41" t="s">
        <v>208</v>
      </c>
      <c r="E116" s="19" t="s">
        <v>18</v>
      </c>
      <c r="F116" s="19">
        <v>100</v>
      </c>
      <c r="G116" s="19">
        <v>100</v>
      </c>
      <c r="H116" s="24">
        <f>IF(G116/F116*100&gt;100,100,G116/F116*100)</f>
        <v>100</v>
      </c>
      <c r="I116" s="19"/>
      <c r="J116" s="19" t="s">
        <v>38</v>
      </c>
      <c r="K116" s="455" t="s">
        <v>223</v>
      </c>
      <c r="L116" s="19" t="s">
        <v>158</v>
      </c>
      <c r="M116" s="19"/>
      <c r="N116" s="19"/>
      <c r="O116" s="24"/>
      <c r="P116" s="468"/>
      <c r="Q116" s="35"/>
      <c r="R116" s="19"/>
      <c r="S116" s="586"/>
      <c r="T116" s="2"/>
      <c r="U116" s="3"/>
    </row>
    <row r="117" spans="1:21" s="1" customFormat="1" ht="56.25" customHeight="1" x14ac:dyDescent="0.35">
      <c r="A117" s="569"/>
      <c r="B117" s="573"/>
      <c r="C117" s="19"/>
      <c r="D117" s="41"/>
      <c r="E117" s="19"/>
      <c r="F117" s="477"/>
      <c r="G117" s="477"/>
      <c r="H117" s="24"/>
      <c r="I117" s="19"/>
      <c r="J117" s="19" t="s">
        <v>234</v>
      </c>
      <c r="K117" s="455" t="s">
        <v>283</v>
      </c>
      <c r="L117" s="19" t="s">
        <v>158</v>
      </c>
      <c r="M117" s="19">
        <v>374</v>
      </c>
      <c r="N117" s="19">
        <v>374</v>
      </c>
      <c r="O117" s="24">
        <f>IF(N117/M117*100&gt;110,110,N117/M117*100)</f>
        <v>100</v>
      </c>
      <c r="P117" s="468"/>
      <c r="Q117" s="35"/>
      <c r="R117" s="19"/>
      <c r="S117" s="586"/>
      <c r="T117" s="2"/>
      <c r="U117" s="3"/>
    </row>
    <row r="118" spans="1:21" s="1" customFormat="1" ht="45" customHeight="1" x14ac:dyDescent="0.35">
      <c r="A118" s="570"/>
      <c r="B118" s="574"/>
      <c r="C118" s="20"/>
      <c r="D118" s="466" t="s">
        <v>644</v>
      </c>
      <c r="E118" s="465"/>
      <c r="F118" s="20"/>
      <c r="G118" s="20"/>
      <c r="H118" s="18"/>
      <c r="I118" s="18">
        <f>H116</f>
        <v>100</v>
      </c>
      <c r="J118" s="128"/>
      <c r="K118" s="466" t="s">
        <v>644</v>
      </c>
      <c r="L118" s="20"/>
      <c r="M118" s="124"/>
      <c r="N118" s="124"/>
      <c r="O118" s="18"/>
      <c r="P118" s="18">
        <f>O117</f>
        <v>100</v>
      </c>
      <c r="Q118" s="18">
        <f>(I118+P118)/2</f>
        <v>100</v>
      </c>
      <c r="R118" s="465" t="s">
        <v>25</v>
      </c>
      <c r="S118" s="587"/>
      <c r="T118" s="2"/>
      <c r="U118" s="3"/>
    </row>
    <row r="119" spans="1:21" s="1" customFormat="1" ht="85.5" customHeight="1" x14ac:dyDescent="0.35">
      <c r="A119" s="567">
        <v>8</v>
      </c>
      <c r="B119" s="571" t="s">
        <v>62</v>
      </c>
      <c r="C119" s="454" t="s">
        <v>13</v>
      </c>
      <c r="D119" s="59" t="s">
        <v>14</v>
      </c>
      <c r="E119" s="454"/>
      <c r="F119" s="454"/>
      <c r="G119" s="454"/>
      <c r="H119" s="35"/>
      <c r="I119" s="35"/>
      <c r="J119" s="454" t="s">
        <v>13</v>
      </c>
      <c r="K119" s="59" t="s">
        <v>14</v>
      </c>
      <c r="L119" s="19"/>
      <c r="M119" s="19"/>
      <c r="N119" s="19"/>
      <c r="O119" s="35"/>
      <c r="P119" s="468"/>
      <c r="Q119" s="35"/>
      <c r="R119" s="19"/>
      <c r="S119" s="584" t="s">
        <v>15</v>
      </c>
      <c r="T119" s="2"/>
    </row>
    <row r="120" spans="1:21" s="1" customFormat="1" ht="33" x14ac:dyDescent="0.35">
      <c r="A120" s="568"/>
      <c r="B120" s="572"/>
      <c r="C120" s="19" t="s">
        <v>16</v>
      </c>
      <c r="D120" s="41" t="s">
        <v>17</v>
      </c>
      <c r="E120" s="19" t="s">
        <v>18</v>
      </c>
      <c r="F120" s="19">
        <v>95</v>
      </c>
      <c r="G120" s="19">
        <v>100</v>
      </c>
      <c r="H120" s="24">
        <f>IF(G120/F120*100&gt;100,100,G120/F120*100)</f>
        <v>100</v>
      </c>
      <c r="I120" s="19"/>
      <c r="J120" s="19" t="s">
        <v>16</v>
      </c>
      <c r="K120" s="41" t="s">
        <v>43</v>
      </c>
      <c r="L120" s="19" t="s">
        <v>20</v>
      </c>
      <c r="M120" s="19">
        <v>100</v>
      </c>
      <c r="N120" s="19">
        <v>100</v>
      </c>
      <c r="O120" s="24">
        <f>IF(N120/M120*100&gt;110,110,N120/M120*100)</f>
        <v>100</v>
      </c>
      <c r="P120" s="468"/>
      <c r="Q120" s="35"/>
      <c r="R120" s="19"/>
      <c r="S120" s="585"/>
      <c r="T120" s="2"/>
    </row>
    <row r="121" spans="1:21" s="1" customFormat="1" ht="96" customHeight="1" x14ac:dyDescent="0.35">
      <c r="A121" s="568"/>
      <c r="B121" s="572"/>
      <c r="C121" s="19"/>
      <c r="D121" s="41"/>
      <c r="E121" s="19"/>
      <c r="F121" s="19"/>
      <c r="G121" s="19"/>
      <c r="H121" s="24"/>
      <c r="I121" s="19"/>
      <c r="J121" s="19" t="s">
        <v>21</v>
      </c>
      <c r="K121" s="41" t="s">
        <v>29</v>
      </c>
      <c r="L121" s="19" t="s">
        <v>20</v>
      </c>
      <c r="M121" s="19">
        <v>303</v>
      </c>
      <c r="N121" s="19">
        <v>303</v>
      </c>
      <c r="O121" s="24">
        <f>IF(N121/M121*100&gt;110,110,N121/M121*100)</f>
        <v>100</v>
      </c>
      <c r="P121" s="468"/>
      <c r="Q121" s="35"/>
      <c r="R121" s="19"/>
      <c r="S121" s="585"/>
      <c r="T121" s="2"/>
    </row>
    <row r="122" spans="1:21" s="1" customFormat="1" ht="63.75" customHeight="1" x14ac:dyDescent="0.35">
      <c r="A122" s="568"/>
      <c r="B122" s="572"/>
      <c r="C122" s="19"/>
      <c r="D122" s="41"/>
      <c r="E122" s="19"/>
      <c r="F122" s="19"/>
      <c r="G122" s="19"/>
      <c r="H122" s="24"/>
      <c r="I122" s="19"/>
      <c r="J122" s="19" t="s">
        <v>23</v>
      </c>
      <c r="K122" s="41" t="s">
        <v>56</v>
      </c>
      <c r="L122" s="19" t="s">
        <v>20</v>
      </c>
      <c r="M122" s="19">
        <v>52</v>
      </c>
      <c r="N122" s="19">
        <v>52</v>
      </c>
      <c r="O122" s="24">
        <f>IF(N122/M122*100&gt;110,110,N122/M122*100)</f>
        <v>100</v>
      </c>
      <c r="P122" s="468"/>
      <c r="Q122" s="35"/>
      <c r="R122" s="19"/>
      <c r="S122" s="585"/>
      <c r="T122" s="2"/>
    </row>
    <row r="123" spans="1:21" s="1" customFormat="1" ht="45" customHeight="1" x14ac:dyDescent="0.35">
      <c r="A123" s="568"/>
      <c r="B123" s="572"/>
      <c r="C123" s="128"/>
      <c r="D123" s="466" t="s">
        <v>644</v>
      </c>
      <c r="E123" s="20"/>
      <c r="F123" s="127"/>
      <c r="G123" s="126"/>
      <c r="H123" s="18"/>
      <c r="I123" s="18">
        <f>H120</f>
        <v>100</v>
      </c>
      <c r="J123" s="20"/>
      <c r="K123" s="466" t="s">
        <v>644</v>
      </c>
      <c r="L123" s="20"/>
      <c r="M123" s="124"/>
      <c r="N123" s="124"/>
      <c r="O123" s="18"/>
      <c r="P123" s="18">
        <f>(O122+O120+O121)/3</f>
        <v>100</v>
      </c>
      <c r="Q123" s="18">
        <f>(I123+P123)/2</f>
        <v>100</v>
      </c>
      <c r="R123" s="465" t="s">
        <v>25</v>
      </c>
      <c r="S123" s="585"/>
      <c r="T123" s="2"/>
      <c r="U123" s="3"/>
    </row>
    <row r="124" spans="1:21" s="1" customFormat="1" ht="41.25" customHeight="1" x14ac:dyDescent="0.35">
      <c r="A124" s="568"/>
      <c r="B124" s="572"/>
      <c r="C124" s="454" t="s">
        <v>26</v>
      </c>
      <c r="D124" s="59" t="s">
        <v>27</v>
      </c>
      <c r="E124" s="19"/>
      <c r="F124" s="19"/>
      <c r="G124" s="19"/>
      <c r="H124" s="35"/>
      <c r="I124" s="35"/>
      <c r="J124" s="454" t="s">
        <v>26</v>
      </c>
      <c r="K124" s="59" t="s">
        <v>27</v>
      </c>
      <c r="L124" s="19"/>
      <c r="M124" s="476"/>
      <c r="N124" s="476"/>
      <c r="O124" s="35"/>
      <c r="P124" s="468"/>
      <c r="Q124" s="35"/>
      <c r="R124" s="19"/>
      <c r="S124" s="585"/>
      <c r="T124" s="2"/>
    </row>
    <row r="125" spans="1:21" s="1" customFormat="1" ht="33" x14ac:dyDescent="0.35">
      <c r="A125" s="568"/>
      <c r="B125" s="572"/>
      <c r="C125" s="19" t="s">
        <v>28</v>
      </c>
      <c r="D125" s="41" t="s">
        <v>17</v>
      </c>
      <c r="E125" s="19" t="s">
        <v>18</v>
      </c>
      <c r="F125" s="19">
        <v>95</v>
      </c>
      <c r="G125" s="19">
        <v>99.1</v>
      </c>
      <c r="H125" s="24">
        <f>IF(G125/F125*100&gt;100,100,G125/F125*100)</f>
        <v>100</v>
      </c>
      <c r="I125" s="19"/>
      <c r="J125" s="129" t="s">
        <v>28</v>
      </c>
      <c r="K125" s="41" t="s">
        <v>63</v>
      </c>
      <c r="L125" s="19" t="s">
        <v>20</v>
      </c>
      <c r="M125" s="19">
        <v>447</v>
      </c>
      <c r="N125" s="19">
        <v>447</v>
      </c>
      <c r="O125" s="24">
        <f>IF(N125/M125*100&gt;110,110,N125/M125*100)</f>
        <v>100</v>
      </c>
      <c r="P125" s="468"/>
      <c r="Q125" s="35"/>
      <c r="R125" s="19"/>
      <c r="S125" s="585"/>
      <c r="T125" s="2"/>
    </row>
    <row r="126" spans="1:21" s="1" customFormat="1" ht="33" x14ac:dyDescent="0.35">
      <c r="A126" s="568"/>
      <c r="B126" s="572"/>
      <c r="C126" s="19" t="s">
        <v>30</v>
      </c>
      <c r="D126" s="41" t="s">
        <v>31</v>
      </c>
      <c r="E126" s="19" t="s">
        <v>32</v>
      </c>
      <c r="F126" s="19">
        <v>35</v>
      </c>
      <c r="G126" s="19">
        <v>34.299999999999997</v>
      </c>
      <c r="H126" s="24">
        <f>IF(F126/G126*100&gt;100,100,F126/G126*100)</f>
        <v>100</v>
      </c>
      <c r="I126" s="19"/>
      <c r="J126" s="129" t="s">
        <v>30</v>
      </c>
      <c r="K126" s="41" t="s">
        <v>33</v>
      </c>
      <c r="L126" s="19" t="s">
        <v>20</v>
      </c>
      <c r="M126" s="19">
        <v>3</v>
      </c>
      <c r="N126" s="19">
        <v>3</v>
      </c>
      <c r="O126" s="24">
        <f>IF(N126/M126*100&gt;110,110,N126/M126*100)</f>
        <v>100</v>
      </c>
      <c r="P126" s="468"/>
      <c r="Q126" s="35"/>
      <c r="R126" s="19"/>
      <c r="S126" s="585"/>
      <c r="T126" s="2"/>
    </row>
    <row r="127" spans="1:21" s="1" customFormat="1" x14ac:dyDescent="0.35">
      <c r="A127" s="568"/>
      <c r="B127" s="572"/>
      <c r="C127" s="19"/>
      <c r="D127" s="41"/>
      <c r="E127" s="19"/>
      <c r="F127" s="19"/>
      <c r="G127" s="19"/>
      <c r="H127" s="24"/>
      <c r="I127" s="19"/>
      <c r="J127" s="129" t="s">
        <v>34</v>
      </c>
      <c r="K127" s="41" t="s">
        <v>35</v>
      </c>
      <c r="L127" s="19" t="s">
        <v>20</v>
      </c>
      <c r="M127" s="19">
        <v>5</v>
      </c>
      <c r="N127" s="19">
        <v>5</v>
      </c>
      <c r="O127" s="24">
        <f>IF(N127/M127*100&gt;110,110,N127/M127*100)</f>
        <v>100</v>
      </c>
      <c r="P127" s="468"/>
      <c r="Q127" s="35"/>
      <c r="R127" s="19"/>
      <c r="S127" s="585"/>
      <c r="T127" s="2"/>
    </row>
    <row r="128" spans="1:21" s="1" customFormat="1" ht="42" customHeight="1" x14ac:dyDescent="0.35">
      <c r="A128" s="568"/>
      <c r="B128" s="572"/>
      <c r="C128" s="128"/>
      <c r="D128" s="466" t="s">
        <v>644</v>
      </c>
      <c r="E128" s="20"/>
      <c r="F128" s="127"/>
      <c r="G128" s="126"/>
      <c r="H128" s="18"/>
      <c r="I128" s="18">
        <f>(H125+H126)/2</f>
        <v>100</v>
      </c>
      <c r="J128" s="20"/>
      <c r="K128" s="466" t="s">
        <v>644</v>
      </c>
      <c r="L128" s="20"/>
      <c r="M128" s="124"/>
      <c r="N128" s="124"/>
      <c r="O128" s="18"/>
      <c r="P128" s="18">
        <f>(O127+O125+O126)/3</f>
        <v>100</v>
      </c>
      <c r="Q128" s="18">
        <f>(I128+P128)/2</f>
        <v>100</v>
      </c>
      <c r="R128" s="465" t="s">
        <v>25</v>
      </c>
      <c r="S128" s="585"/>
      <c r="T128" s="2"/>
      <c r="U128" s="3"/>
    </row>
    <row r="129" spans="1:21" s="1" customFormat="1" ht="56.25" customHeight="1" x14ac:dyDescent="0.35">
      <c r="A129" s="569"/>
      <c r="B129" s="573"/>
      <c r="C129" s="454" t="s">
        <v>36</v>
      </c>
      <c r="D129" s="59" t="s">
        <v>130</v>
      </c>
      <c r="E129" s="454"/>
      <c r="F129" s="454"/>
      <c r="G129" s="454"/>
      <c r="H129" s="35"/>
      <c r="I129" s="35"/>
      <c r="J129" s="454" t="s">
        <v>36</v>
      </c>
      <c r="K129" s="59" t="s">
        <v>130</v>
      </c>
      <c r="L129" s="19"/>
      <c r="M129" s="19"/>
      <c r="N129" s="19"/>
      <c r="O129" s="35"/>
      <c r="P129" s="35"/>
      <c r="Q129" s="35"/>
      <c r="R129" s="19"/>
      <c r="S129" s="586"/>
      <c r="T129" s="2"/>
      <c r="U129" s="3"/>
    </row>
    <row r="130" spans="1:21" s="1" customFormat="1" ht="56.25" customHeight="1" x14ac:dyDescent="0.35">
      <c r="A130" s="569"/>
      <c r="B130" s="573"/>
      <c r="C130" s="19" t="s">
        <v>38</v>
      </c>
      <c r="D130" s="41" t="s">
        <v>208</v>
      </c>
      <c r="E130" s="19" t="s">
        <v>18</v>
      </c>
      <c r="F130" s="19">
        <v>100</v>
      </c>
      <c r="G130" s="19">
        <v>100</v>
      </c>
      <c r="H130" s="24">
        <f>IF(G130/F130*100&gt;100,100,G130/F130*100)</f>
        <v>100</v>
      </c>
      <c r="I130" s="19"/>
      <c r="J130" s="19" t="s">
        <v>38</v>
      </c>
      <c r="K130" s="455" t="s">
        <v>223</v>
      </c>
      <c r="L130" s="19" t="s">
        <v>158</v>
      </c>
      <c r="M130" s="19"/>
      <c r="N130" s="19"/>
      <c r="O130" s="24"/>
      <c r="P130" s="468"/>
      <c r="Q130" s="35"/>
      <c r="R130" s="19"/>
      <c r="S130" s="586"/>
      <c r="T130" s="2"/>
      <c r="U130" s="3"/>
    </row>
    <row r="131" spans="1:21" s="1" customFormat="1" ht="56.25" customHeight="1" x14ac:dyDescent="0.35">
      <c r="A131" s="569"/>
      <c r="B131" s="573"/>
      <c r="C131" s="19"/>
      <c r="D131" s="41"/>
      <c r="E131" s="19"/>
      <c r="F131" s="477"/>
      <c r="G131" s="477"/>
      <c r="H131" s="24"/>
      <c r="I131" s="19"/>
      <c r="J131" s="19" t="s">
        <v>234</v>
      </c>
      <c r="K131" s="455" t="s">
        <v>283</v>
      </c>
      <c r="L131" s="19" t="s">
        <v>158</v>
      </c>
      <c r="M131" s="19">
        <v>374</v>
      </c>
      <c r="N131" s="19">
        <v>374</v>
      </c>
      <c r="O131" s="24">
        <f>IF(N131/M131*100&gt;110,110,N131/M131*100)</f>
        <v>100</v>
      </c>
      <c r="P131" s="468"/>
      <c r="Q131" s="35"/>
      <c r="R131" s="19"/>
      <c r="S131" s="586"/>
      <c r="T131" s="2"/>
      <c r="U131" s="3"/>
    </row>
    <row r="132" spans="1:21" s="1" customFormat="1" ht="42" customHeight="1" x14ac:dyDescent="0.35">
      <c r="A132" s="570"/>
      <c r="B132" s="574"/>
      <c r="C132" s="20"/>
      <c r="D132" s="466" t="s">
        <v>644</v>
      </c>
      <c r="E132" s="465"/>
      <c r="F132" s="20"/>
      <c r="G132" s="20"/>
      <c r="H132" s="18"/>
      <c r="I132" s="18">
        <f>H130</f>
        <v>100</v>
      </c>
      <c r="J132" s="128"/>
      <c r="K132" s="466" t="s">
        <v>644</v>
      </c>
      <c r="L132" s="20"/>
      <c r="M132" s="124"/>
      <c r="N132" s="124"/>
      <c r="O132" s="18"/>
      <c r="P132" s="18">
        <f>O131</f>
        <v>100</v>
      </c>
      <c r="Q132" s="18">
        <f>(I132+P132)/2</f>
        <v>100</v>
      </c>
      <c r="R132" s="465" t="s">
        <v>25</v>
      </c>
      <c r="S132" s="587"/>
      <c r="T132" s="2"/>
      <c r="U132" s="3"/>
    </row>
    <row r="133" spans="1:21" s="1" customFormat="1" ht="85.5" customHeight="1" x14ac:dyDescent="0.35">
      <c r="A133" s="567">
        <v>9</v>
      </c>
      <c r="B133" s="571" t="s">
        <v>65</v>
      </c>
      <c r="C133" s="454" t="s">
        <v>13</v>
      </c>
      <c r="D133" s="59" t="s">
        <v>14</v>
      </c>
      <c r="E133" s="454"/>
      <c r="F133" s="454"/>
      <c r="G133" s="454"/>
      <c r="H133" s="35"/>
      <c r="I133" s="35"/>
      <c r="J133" s="454" t="s">
        <v>13</v>
      </c>
      <c r="K133" s="59" t="s">
        <v>14</v>
      </c>
      <c r="L133" s="19"/>
      <c r="M133" s="19"/>
      <c r="N133" s="19"/>
      <c r="O133" s="35"/>
      <c r="P133" s="468"/>
      <c r="Q133" s="35"/>
      <c r="R133" s="19"/>
      <c r="S133" s="584" t="s">
        <v>15</v>
      </c>
      <c r="T133" s="2"/>
    </row>
    <row r="134" spans="1:21" s="1" customFormat="1" ht="33" x14ac:dyDescent="0.35">
      <c r="A134" s="568"/>
      <c r="B134" s="572"/>
      <c r="C134" s="19" t="s">
        <v>16</v>
      </c>
      <c r="D134" s="41" t="s">
        <v>17</v>
      </c>
      <c r="E134" s="19" t="s">
        <v>18</v>
      </c>
      <c r="F134" s="19">
        <v>95</v>
      </c>
      <c r="G134" s="19">
        <v>95</v>
      </c>
      <c r="H134" s="24">
        <f>IF(G134/F134*100&gt;100,100,G134/F134*100)</f>
        <v>100</v>
      </c>
      <c r="I134" s="19"/>
      <c r="J134" s="19" t="s">
        <v>16</v>
      </c>
      <c r="K134" s="41" t="s">
        <v>43</v>
      </c>
      <c r="L134" s="19" t="s">
        <v>20</v>
      </c>
      <c r="M134" s="19">
        <v>68</v>
      </c>
      <c r="N134" s="19">
        <v>68</v>
      </c>
      <c r="O134" s="24">
        <f>IF(N134/M134*100&gt;110,110,N134/M134*100)</f>
        <v>100</v>
      </c>
      <c r="P134" s="468"/>
      <c r="Q134" s="35"/>
      <c r="R134" s="19"/>
      <c r="S134" s="585"/>
      <c r="T134" s="2"/>
    </row>
    <row r="135" spans="1:21" s="1" customFormat="1" ht="33" x14ac:dyDescent="0.35">
      <c r="A135" s="568"/>
      <c r="B135" s="572"/>
      <c r="C135" s="19"/>
      <c r="D135" s="41"/>
      <c r="E135" s="19"/>
      <c r="F135" s="19"/>
      <c r="G135" s="19"/>
      <c r="H135" s="24"/>
      <c r="I135" s="19"/>
      <c r="J135" s="19" t="s">
        <v>21</v>
      </c>
      <c r="K135" s="41" t="s">
        <v>29</v>
      </c>
      <c r="L135" s="19" t="s">
        <v>20</v>
      </c>
      <c r="M135" s="19">
        <v>139</v>
      </c>
      <c r="N135" s="19">
        <v>139</v>
      </c>
      <c r="O135" s="24">
        <f>IF(N135/M135*100&gt;110,110,N135/M135*100)</f>
        <v>100</v>
      </c>
      <c r="P135" s="468"/>
      <c r="Q135" s="35"/>
      <c r="R135" s="19"/>
      <c r="S135" s="585"/>
      <c r="T135" s="2"/>
    </row>
    <row r="136" spans="1:21" s="1" customFormat="1" ht="33" customHeight="1" x14ac:dyDescent="0.35">
      <c r="A136" s="568"/>
      <c r="B136" s="572"/>
      <c r="C136" s="19"/>
      <c r="D136" s="41"/>
      <c r="E136" s="19"/>
      <c r="F136" s="19"/>
      <c r="G136" s="19"/>
      <c r="H136" s="24"/>
      <c r="I136" s="19"/>
      <c r="J136" s="19" t="s">
        <v>23</v>
      </c>
      <c r="K136" s="41" t="s">
        <v>56</v>
      </c>
      <c r="L136" s="19" t="s">
        <v>20</v>
      </c>
      <c r="M136" s="19">
        <v>18</v>
      </c>
      <c r="N136" s="19">
        <v>18</v>
      </c>
      <c r="O136" s="24">
        <f>IF(N136/M136*100&gt;110,110,N136/M136*100)</f>
        <v>100</v>
      </c>
      <c r="P136" s="468"/>
      <c r="Q136" s="35"/>
      <c r="R136" s="19"/>
      <c r="S136" s="585"/>
      <c r="T136" s="2"/>
    </row>
    <row r="137" spans="1:21" s="1" customFormat="1" ht="46.5" customHeight="1" x14ac:dyDescent="0.35">
      <c r="A137" s="568"/>
      <c r="B137" s="572"/>
      <c r="C137" s="128"/>
      <c r="D137" s="466" t="s">
        <v>644</v>
      </c>
      <c r="E137" s="20"/>
      <c r="F137" s="127"/>
      <c r="G137" s="126"/>
      <c r="H137" s="18"/>
      <c r="I137" s="18">
        <f>H134</f>
        <v>100</v>
      </c>
      <c r="J137" s="20"/>
      <c r="K137" s="466" t="s">
        <v>644</v>
      </c>
      <c r="L137" s="20"/>
      <c r="M137" s="124"/>
      <c r="N137" s="124"/>
      <c r="O137" s="18"/>
      <c r="P137" s="18">
        <f>(O136+O134+O135)/3</f>
        <v>100</v>
      </c>
      <c r="Q137" s="18">
        <f>(I137+P137)/2</f>
        <v>100</v>
      </c>
      <c r="R137" s="465" t="s">
        <v>25</v>
      </c>
      <c r="S137" s="585"/>
      <c r="T137" s="2"/>
      <c r="U137" s="3"/>
    </row>
    <row r="138" spans="1:21" s="1" customFormat="1" ht="48" customHeight="1" x14ac:dyDescent="0.35">
      <c r="A138" s="568"/>
      <c r="B138" s="572"/>
      <c r="C138" s="454" t="s">
        <v>26</v>
      </c>
      <c r="D138" s="59" t="s">
        <v>27</v>
      </c>
      <c r="E138" s="19"/>
      <c r="F138" s="19"/>
      <c r="G138" s="19"/>
      <c r="H138" s="35"/>
      <c r="I138" s="35"/>
      <c r="J138" s="454" t="s">
        <v>26</v>
      </c>
      <c r="K138" s="59" t="s">
        <v>27</v>
      </c>
      <c r="L138" s="19"/>
      <c r="M138" s="476"/>
      <c r="N138" s="476"/>
      <c r="O138" s="35"/>
      <c r="P138" s="468"/>
      <c r="Q138" s="35"/>
      <c r="R138" s="19"/>
      <c r="S138" s="585"/>
      <c r="T138" s="2"/>
    </row>
    <row r="139" spans="1:21" s="1" customFormat="1" ht="33" x14ac:dyDescent="0.35">
      <c r="A139" s="568"/>
      <c r="B139" s="572"/>
      <c r="C139" s="19" t="s">
        <v>28</v>
      </c>
      <c r="D139" s="41" t="s">
        <v>17</v>
      </c>
      <c r="E139" s="19" t="s">
        <v>18</v>
      </c>
      <c r="F139" s="19">
        <v>95</v>
      </c>
      <c r="G139" s="19">
        <v>95</v>
      </c>
      <c r="H139" s="24">
        <f>IF(G139/F139*100&gt;100,100,G139/F139*100)</f>
        <v>100</v>
      </c>
      <c r="I139" s="19"/>
      <c r="J139" s="129" t="s">
        <v>28</v>
      </c>
      <c r="K139" s="41" t="s">
        <v>53</v>
      </c>
      <c r="L139" s="19" t="s">
        <v>20</v>
      </c>
      <c r="M139" s="19">
        <v>222</v>
      </c>
      <c r="N139" s="19">
        <v>222</v>
      </c>
      <c r="O139" s="24">
        <f>IF(N139/M139*100&gt;110,110,N139/M139*100)</f>
        <v>100</v>
      </c>
      <c r="P139" s="468"/>
      <c r="Q139" s="35"/>
      <c r="R139" s="19"/>
      <c r="S139" s="585"/>
      <c r="T139" s="2"/>
    </row>
    <row r="140" spans="1:21" s="1" customFormat="1" ht="33" x14ac:dyDescent="0.35">
      <c r="A140" s="568"/>
      <c r="B140" s="572"/>
      <c r="C140" s="19" t="s">
        <v>30</v>
      </c>
      <c r="D140" s="41" t="s">
        <v>31</v>
      </c>
      <c r="E140" s="19" t="s">
        <v>32</v>
      </c>
      <c r="F140" s="19">
        <v>35</v>
      </c>
      <c r="G140" s="19">
        <v>30.28</v>
      </c>
      <c r="H140" s="24">
        <f>IF(F140/G140*100&gt;100,100,F140/G140*100)</f>
        <v>100</v>
      </c>
      <c r="I140" s="19"/>
      <c r="J140" s="129" t="s">
        <v>30</v>
      </c>
      <c r="K140" s="41" t="s">
        <v>33</v>
      </c>
      <c r="L140" s="19" t="s">
        <v>20</v>
      </c>
      <c r="M140" s="19">
        <v>1</v>
      </c>
      <c r="N140" s="19">
        <v>1</v>
      </c>
      <c r="O140" s="24">
        <f>IF(N140/M140*100&gt;110,110,N140/M140*100)</f>
        <v>100</v>
      </c>
      <c r="P140" s="468"/>
      <c r="Q140" s="35"/>
      <c r="R140" s="19"/>
      <c r="S140" s="585"/>
      <c r="T140" s="2"/>
    </row>
    <row r="141" spans="1:21" s="1" customFormat="1" x14ac:dyDescent="0.35">
      <c r="A141" s="568"/>
      <c r="B141" s="572"/>
      <c r="C141" s="19"/>
      <c r="D141" s="41"/>
      <c r="E141" s="19"/>
      <c r="F141" s="19"/>
      <c r="G141" s="19"/>
      <c r="H141" s="24"/>
      <c r="I141" s="19"/>
      <c r="J141" s="129" t="s">
        <v>34</v>
      </c>
      <c r="K141" s="41" t="s">
        <v>35</v>
      </c>
      <c r="L141" s="19" t="s">
        <v>20</v>
      </c>
      <c r="M141" s="19">
        <v>2</v>
      </c>
      <c r="N141" s="19">
        <v>2</v>
      </c>
      <c r="O141" s="24">
        <f>IF(N141/M141*100&gt;110,110,N141/M141*100)</f>
        <v>100</v>
      </c>
      <c r="P141" s="468"/>
      <c r="Q141" s="35"/>
      <c r="R141" s="19"/>
      <c r="S141" s="585"/>
      <c r="T141" s="2"/>
    </row>
    <row r="142" spans="1:21" s="1" customFormat="1" ht="44.25" customHeight="1" x14ac:dyDescent="0.35">
      <c r="A142" s="568"/>
      <c r="B142" s="572"/>
      <c r="C142" s="128"/>
      <c r="D142" s="466" t="s">
        <v>644</v>
      </c>
      <c r="E142" s="465"/>
      <c r="F142" s="84"/>
      <c r="G142" s="18"/>
      <c r="H142" s="18"/>
      <c r="I142" s="18">
        <f>(H139+H140)/2</f>
        <v>100</v>
      </c>
      <c r="J142" s="465"/>
      <c r="K142" s="466" t="s">
        <v>644</v>
      </c>
      <c r="L142" s="465"/>
      <c r="M142" s="478"/>
      <c r="N142" s="478"/>
      <c r="O142" s="18"/>
      <c r="P142" s="18">
        <f>(O141+O139+O140)/3</f>
        <v>100</v>
      </c>
      <c r="Q142" s="18">
        <f>(I142+P142)/2</f>
        <v>100</v>
      </c>
      <c r="R142" s="465" t="s">
        <v>25</v>
      </c>
      <c r="S142" s="585"/>
      <c r="T142" s="2"/>
      <c r="U142" s="3"/>
    </row>
    <row r="143" spans="1:21" s="1" customFormat="1" ht="68.25" customHeight="1" x14ac:dyDescent="0.35">
      <c r="A143" s="568"/>
      <c r="B143" s="572"/>
      <c r="C143" s="454" t="s">
        <v>36</v>
      </c>
      <c r="D143" s="59" t="s">
        <v>37</v>
      </c>
      <c r="E143" s="19"/>
      <c r="F143" s="19"/>
      <c r="G143" s="19"/>
      <c r="H143" s="35"/>
      <c r="I143" s="35"/>
      <c r="J143" s="454" t="s">
        <v>36</v>
      </c>
      <c r="K143" s="59" t="str">
        <f>D143</f>
        <v>Предоставление консультационных и методических услуг</v>
      </c>
      <c r="L143" s="19"/>
      <c r="M143" s="122"/>
      <c r="N143" s="122"/>
      <c r="O143" s="35"/>
      <c r="P143" s="468"/>
      <c r="Q143" s="35"/>
      <c r="R143" s="19"/>
      <c r="S143" s="585"/>
      <c r="T143" s="2"/>
    </row>
    <row r="144" spans="1:21" s="1" customFormat="1" ht="33" x14ac:dyDescent="0.35">
      <c r="A144" s="568"/>
      <c r="B144" s="572"/>
      <c r="C144" s="19" t="s">
        <v>38</v>
      </c>
      <c r="D144" s="41" t="s">
        <v>39</v>
      </c>
      <c r="E144" s="19" t="s">
        <v>46</v>
      </c>
      <c r="F144" s="19">
        <v>50</v>
      </c>
      <c r="G144" s="19">
        <v>50</v>
      </c>
      <c r="H144" s="24">
        <f>IF(G144/F144*100&gt;100,100,G144/F144*100)</f>
        <v>100</v>
      </c>
      <c r="I144" s="19"/>
      <c r="J144" s="129" t="s">
        <v>38</v>
      </c>
      <c r="K144" s="41" t="s">
        <v>40</v>
      </c>
      <c r="L144" s="19" t="s">
        <v>41</v>
      </c>
      <c r="M144" s="19">
        <v>100</v>
      </c>
      <c r="N144" s="122">
        <v>100</v>
      </c>
      <c r="O144" s="24">
        <f>IF(N144/M144*100&gt;110,110,N144/M144*100)</f>
        <v>100</v>
      </c>
      <c r="P144" s="468"/>
      <c r="Q144" s="35"/>
      <c r="R144" s="19"/>
      <c r="S144" s="585"/>
      <c r="T144" s="2"/>
    </row>
    <row r="145" spans="1:21" s="1" customFormat="1" ht="48" customHeight="1" x14ac:dyDescent="0.35">
      <c r="A145" s="568"/>
      <c r="B145" s="572"/>
      <c r="C145" s="465"/>
      <c r="D145" s="466" t="s">
        <v>644</v>
      </c>
      <c r="E145" s="465"/>
      <c r="F145" s="20"/>
      <c r="G145" s="20"/>
      <c r="H145" s="18"/>
      <c r="I145" s="18">
        <f>H144</f>
        <v>100</v>
      </c>
      <c r="J145" s="128"/>
      <c r="K145" s="466" t="s">
        <v>644</v>
      </c>
      <c r="L145" s="20"/>
      <c r="M145" s="124"/>
      <c r="N145" s="124"/>
      <c r="O145" s="18"/>
      <c r="P145" s="18">
        <f>O144</f>
        <v>100</v>
      </c>
      <c r="Q145" s="18">
        <f>(I145+P145)/2</f>
        <v>100</v>
      </c>
      <c r="R145" s="465" t="s">
        <v>25</v>
      </c>
      <c r="S145" s="585"/>
      <c r="T145" s="2"/>
    </row>
    <row r="146" spans="1:21" s="1" customFormat="1" ht="55.5" customHeight="1" x14ac:dyDescent="0.35">
      <c r="A146" s="569"/>
      <c r="B146" s="573"/>
      <c r="C146" s="454" t="s">
        <v>123</v>
      </c>
      <c r="D146" s="59" t="s">
        <v>130</v>
      </c>
      <c r="E146" s="454"/>
      <c r="F146" s="454"/>
      <c r="G146" s="454"/>
      <c r="H146" s="35"/>
      <c r="I146" s="35"/>
      <c r="J146" s="454" t="s">
        <v>123</v>
      </c>
      <c r="K146" s="59" t="s">
        <v>130</v>
      </c>
      <c r="L146" s="19"/>
      <c r="M146" s="19"/>
      <c r="N146" s="19"/>
      <c r="O146" s="35"/>
      <c r="P146" s="35"/>
      <c r="Q146" s="35"/>
      <c r="R146" s="19"/>
      <c r="S146" s="586"/>
      <c r="T146" s="2"/>
    </row>
    <row r="147" spans="1:21" s="1" customFormat="1" ht="55.5" customHeight="1" x14ac:dyDescent="0.35">
      <c r="A147" s="569"/>
      <c r="B147" s="573"/>
      <c r="C147" s="19" t="s">
        <v>124</v>
      </c>
      <c r="D147" s="41" t="s">
        <v>208</v>
      </c>
      <c r="E147" s="19" t="s">
        <v>18</v>
      </c>
      <c r="F147" s="19">
        <v>100</v>
      </c>
      <c r="G147" s="19">
        <v>100</v>
      </c>
      <c r="H147" s="24">
        <f>IF(G147/F147*100&gt;100,100,G147/F147*100)</f>
        <v>100</v>
      </c>
      <c r="I147" s="19"/>
      <c r="J147" s="19" t="s">
        <v>124</v>
      </c>
      <c r="K147" s="455" t="s">
        <v>223</v>
      </c>
      <c r="L147" s="19" t="s">
        <v>158</v>
      </c>
      <c r="M147" s="19"/>
      <c r="N147" s="19"/>
      <c r="O147" s="24"/>
      <c r="P147" s="468"/>
      <c r="Q147" s="35"/>
      <c r="R147" s="19"/>
      <c r="S147" s="586"/>
      <c r="T147" s="2"/>
    </row>
    <row r="148" spans="1:21" s="1" customFormat="1" ht="55.5" customHeight="1" x14ac:dyDescent="0.35">
      <c r="A148" s="569"/>
      <c r="B148" s="573"/>
      <c r="C148" s="19"/>
      <c r="D148" s="41"/>
      <c r="E148" s="19"/>
      <c r="F148" s="477"/>
      <c r="G148" s="477"/>
      <c r="H148" s="24"/>
      <c r="I148" s="19"/>
      <c r="J148" s="19" t="s">
        <v>284</v>
      </c>
      <c r="K148" s="455" t="s">
        <v>283</v>
      </c>
      <c r="L148" s="19" t="s">
        <v>158</v>
      </c>
      <c r="M148" s="19">
        <v>374</v>
      </c>
      <c r="N148" s="19">
        <v>374</v>
      </c>
      <c r="O148" s="24">
        <f>IF(N148/M148*100&gt;110,110,N148/M148*100)</f>
        <v>100</v>
      </c>
      <c r="P148" s="468"/>
      <c r="Q148" s="35"/>
      <c r="R148" s="19"/>
      <c r="S148" s="586"/>
      <c r="T148" s="2"/>
    </row>
    <row r="149" spans="1:21" s="1" customFormat="1" ht="48.75" customHeight="1" x14ac:dyDescent="0.35">
      <c r="A149" s="570"/>
      <c r="B149" s="574"/>
      <c r="C149" s="20"/>
      <c r="D149" s="466" t="s">
        <v>644</v>
      </c>
      <c r="E149" s="465"/>
      <c r="F149" s="20"/>
      <c r="G149" s="20"/>
      <c r="H149" s="18"/>
      <c r="I149" s="18">
        <f>H147</f>
        <v>100</v>
      </c>
      <c r="J149" s="128"/>
      <c r="K149" s="466" t="s">
        <v>644</v>
      </c>
      <c r="L149" s="20"/>
      <c r="M149" s="124"/>
      <c r="N149" s="124"/>
      <c r="O149" s="18"/>
      <c r="P149" s="18">
        <f>O148</f>
        <v>100</v>
      </c>
      <c r="Q149" s="18">
        <f>(I149+P149)/2</f>
        <v>100</v>
      </c>
      <c r="R149" s="465" t="s">
        <v>25</v>
      </c>
      <c r="S149" s="587"/>
      <c r="T149" s="2"/>
    </row>
    <row r="150" spans="1:21" s="1" customFormat="1" ht="80.25" customHeight="1" x14ac:dyDescent="0.35">
      <c r="A150" s="567">
        <v>10</v>
      </c>
      <c r="B150" s="571" t="s">
        <v>67</v>
      </c>
      <c r="C150" s="454" t="s">
        <v>13</v>
      </c>
      <c r="D150" s="59" t="s">
        <v>14</v>
      </c>
      <c r="E150" s="454"/>
      <c r="F150" s="454"/>
      <c r="G150" s="454"/>
      <c r="H150" s="35"/>
      <c r="I150" s="35"/>
      <c r="J150" s="454" t="s">
        <v>13</v>
      </c>
      <c r="K150" s="59" t="s">
        <v>14</v>
      </c>
      <c r="L150" s="19"/>
      <c r="M150" s="19"/>
      <c r="N150" s="19"/>
      <c r="O150" s="35"/>
      <c r="P150" s="468"/>
      <c r="Q150" s="35"/>
      <c r="R150" s="19"/>
      <c r="S150" s="584" t="s">
        <v>15</v>
      </c>
      <c r="T150" s="2"/>
    </row>
    <row r="151" spans="1:21" s="1" customFormat="1" ht="33" x14ac:dyDescent="0.35">
      <c r="A151" s="568"/>
      <c r="B151" s="572"/>
      <c r="C151" s="19" t="s">
        <v>16</v>
      </c>
      <c r="D151" s="41" t="s">
        <v>17</v>
      </c>
      <c r="E151" s="19" t="s">
        <v>18</v>
      </c>
      <c r="F151" s="19">
        <v>95</v>
      </c>
      <c r="G151" s="19">
        <v>100</v>
      </c>
      <c r="H151" s="24">
        <f>IF(G151/F151*100&gt;100,100,G151/F151*100)</f>
        <v>100</v>
      </c>
      <c r="I151" s="19"/>
      <c r="J151" s="19" t="s">
        <v>16</v>
      </c>
      <c r="K151" s="41" t="s">
        <v>43</v>
      </c>
      <c r="L151" s="19" t="s">
        <v>20</v>
      </c>
      <c r="M151" s="19">
        <v>55</v>
      </c>
      <c r="N151" s="19">
        <v>55</v>
      </c>
      <c r="O151" s="24">
        <f>IF(N151/M151*100&gt;110,110,N151/M151*100)</f>
        <v>100</v>
      </c>
      <c r="P151" s="468"/>
      <c r="Q151" s="35"/>
      <c r="R151" s="19"/>
      <c r="S151" s="585"/>
      <c r="T151" s="2"/>
    </row>
    <row r="152" spans="1:21" s="1" customFormat="1" ht="33" x14ac:dyDescent="0.35">
      <c r="A152" s="568"/>
      <c r="B152" s="572"/>
      <c r="C152" s="19"/>
      <c r="D152" s="41"/>
      <c r="E152" s="19"/>
      <c r="F152" s="19"/>
      <c r="G152" s="19"/>
      <c r="H152" s="24"/>
      <c r="I152" s="19"/>
      <c r="J152" s="19" t="s">
        <v>21</v>
      </c>
      <c r="K152" s="41" t="s">
        <v>29</v>
      </c>
      <c r="L152" s="19" t="s">
        <v>20</v>
      </c>
      <c r="M152" s="19">
        <v>151</v>
      </c>
      <c r="N152" s="19">
        <v>151</v>
      </c>
      <c r="O152" s="24">
        <v>100</v>
      </c>
      <c r="P152" s="468"/>
      <c r="Q152" s="35"/>
      <c r="R152" s="19"/>
      <c r="S152" s="585"/>
      <c r="T152" s="2"/>
    </row>
    <row r="153" spans="1:21" s="1" customFormat="1" ht="34.5" customHeight="1" x14ac:dyDescent="0.35">
      <c r="A153" s="568"/>
      <c r="B153" s="572"/>
      <c r="C153" s="19"/>
      <c r="D153" s="41"/>
      <c r="E153" s="19"/>
      <c r="F153" s="19"/>
      <c r="G153" s="19"/>
      <c r="H153" s="24"/>
      <c r="I153" s="19"/>
      <c r="J153" s="19" t="s">
        <v>23</v>
      </c>
      <c r="K153" s="41" t="s">
        <v>56</v>
      </c>
      <c r="L153" s="19" t="s">
        <v>20</v>
      </c>
      <c r="M153" s="19">
        <v>30</v>
      </c>
      <c r="N153" s="19">
        <v>30</v>
      </c>
      <c r="O153" s="24">
        <f>IF(N153/M153*100&gt;110,110,N153/M153*100)</f>
        <v>100</v>
      </c>
      <c r="P153" s="468"/>
      <c r="Q153" s="35"/>
      <c r="R153" s="19"/>
      <c r="S153" s="585"/>
      <c r="T153" s="2"/>
    </row>
    <row r="154" spans="1:21" s="1" customFormat="1" ht="46.5" customHeight="1" x14ac:dyDescent="0.35">
      <c r="A154" s="568"/>
      <c r="B154" s="572"/>
      <c r="C154" s="128"/>
      <c r="D154" s="466" t="s">
        <v>644</v>
      </c>
      <c r="E154" s="20"/>
      <c r="F154" s="127"/>
      <c r="G154" s="126"/>
      <c r="H154" s="18"/>
      <c r="I154" s="18">
        <f>H151</f>
        <v>100</v>
      </c>
      <c r="J154" s="20"/>
      <c r="K154" s="466" t="s">
        <v>644</v>
      </c>
      <c r="L154" s="20"/>
      <c r="M154" s="124"/>
      <c r="N154" s="124"/>
      <c r="O154" s="18"/>
      <c r="P154" s="18">
        <f>(O151+O152+O153)/3</f>
        <v>100</v>
      </c>
      <c r="Q154" s="18">
        <f>(I154+P154)/2</f>
        <v>100</v>
      </c>
      <c r="R154" s="465" t="s">
        <v>25</v>
      </c>
      <c r="S154" s="585"/>
      <c r="T154" s="2"/>
      <c r="U154" s="3"/>
    </row>
    <row r="155" spans="1:21" s="1" customFormat="1" ht="42" customHeight="1" x14ac:dyDescent="0.35">
      <c r="A155" s="568"/>
      <c r="B155" s="572"/>
      <c r="C155" s="454" t="s">
        <v>26</v>
      </c>
      <c r="D155" s="59" t="s">
        <v>27</v>
      </c>
      <c r="E155" s="19"/>
      <c r="F155" s="19"/>
      <c r="G155" s="19"/>
      <c r="H155" s="35"/>
      <c r="I155" s="35"/>
      <c r="J155" s="454" t="s">
        <v>26</v>
      </c>
      <c r="K155" s="59" t="s">
        <v>27</v>
      </c>
      <c r="L155" s="19"/>
      <c r="M155" s="476"/>
      <c r="N155" s="476"/>
      <c r="O155" s="35"/>
      <c r="P155" s="468"/>
      <c r="Q155" s="35"/>
      <c r="R155" s="19"/>
      <c r="S155" s="585"/>
      <c r="T155" s="2"/>
    </row>
    <row r="156" spans="1:21" s="1" customFormat="1" ht="33" x14ac:dyDescent="0.35">
      <c r="A156" s="568"/>
      <c r="B156" s="572"/>
      <c r="C156" s="19" t="s">
        <v>28</v>
      </c>
      <c r="D156" s="41" t="s">
        <v>17</v>
      </c>
      <c r="E156" s="19" t="s">
        <v>18</v>
      </c>
      <c r="F156" s="19">
        <v>95</v>
      </c>
      <c r="G156" s="19">
        <v>100</v>
      </c>
      <c r="H156" s="24">
        <f>IF(G156/F156*100&gt;100,100,G156/F156*100)</f>
        <v>100</v>
      </c>
      <c r="I156" s="19"/>
      <c r="J156" s="578" t="s">
        <v>28</v>
      </c>
      <c r="K156" s="575" t="s">
        <v>63</v>
      </c>
      <c r="L156" s="575" t="s">
        <v>20</v>
      </c>
      <c r="M156" s="575">
        <v>234</v>
      </c>
      <c r="N156" s="575">
        <v>234</v>
      </c>
      <c r="O156" s="577">
        <f>IF(N156/M156*100&gt;110,110,N156/M156*100)</f>
        <v>100</v>
      </c>
      <c r="P156" s="588"/>
      <c r="Q156" s="590"/>
      <c r="R156" s="575"/>
      <c r="S156" s="585"/>
      <c r="T156" s="2"/>
    </row>
    <row r="157" spans="1:21" s="1" customFormat="1" ht="62.25" customHeight="1" x14ac:dyDescent="0.35">
      <c r="A157" s="568"/>
      <c r="B157" s="572"/>
      <c r="C157" s="19" t="s">
        <v>30</v>
      </c>
      <c r="D157" s="41" t="s">
        <v>31</v>
      </c>
      <c r="E157" s="19" t="s">
        <v>32</v>
      </c>
      <c r="F157" s="19">
        <v>35</v>
      </c>
      <c r="G157" s="19">
        <v>30.2</v>
      </c>
      <c r="H157" s="24">
        <f>IF(F157/G157*100&gt;100,100,F157/G157*100)</f>
        <v>100</v>
      </c>
      <c r="I157" s="19"/>
      <c r="J157" s="579"/>
      <c r="K157" s="583"/>
      <c r="L157" s="583"/>
      <c r="M157" s="583"/>
      <c r="N157" s="583"/>
      <c r="O157" s="594"/>
      <c r="P157" s="589"/>
      <c r="Q157" s="591"/>
      <c r="R157" s="583"/>
      <c r="S157" s="585"/>
      <c r="T157" s="2"/>
    </row>
    <row r="158" spans="1:21" s="1" customFormat="1" ht="27.75" customHeight="1" x14ac:dyDescent="0.35">
      <c r="A158" s="568"/>
      <c r="B158" s="572"/>
      <c r="C158" s="19"/>
      <c r="D158" s="41"/>
      <c r="E158" s="19"/>
      <c r="F158" s="19"/>
      <c r="G158" s="19"/>
      <c r="H158" s="24"/>
      <c r="I158" s="19"/>
      <c r="J158" s="129" t="s">
        <v>30</v>
      </c>
      <c r="K158" s="41" t="s">
        <v>35</v>
      </c>
      <c r="L158" s="19" t="s">
        <v>20</v>
      </c>
      <c r="M158" s="19">
        <v>2</v>
      </c>
      <c r="N158" s="19">
        <v>2</v>
      </c>
      <c r="O158" s="24">
        <f>IF(N158/M158*100&gt;110,110,N158/M158*100)</f>
        <v>100</v>
      </c>
      <c r="P158" s="468"/>
      <c r="Q158" s="35"/>
      <c r="R158" s="19"/>
      <c r="S158" s="585"/>
      <c r="T158" s="2"/>
    </row>
    <row r="159" spans="1:21" s="1" customFormat="1" ht="43.5" customHeight="1" x14ac:dyDescent="0.35">
      <c r="A159" s="568"/>
      <c r="B159" s="572"/>
      <c r="C159" s="128"/>
      <c r="D159" s="466" t="s">
        <v>644</v>
      </c>
      <c r="E159" s="20"/>
      <c r="F159" s="127"/>
      <c r="G159" s="126"/>
      <c r="H159" s="18"/>
      <c r="I159" s="18">
        <f>(H156+H157)/2</f>
        <v>100</v>
      </c>
      <c r="J159" s="20"/>
      <c r="K159" s="466" t="s">
        <v>644</v>
      </c>
      <c r="L159" s="20"/>
      <c r="M159" s="124"/>
      <c r="N159" s="124"/>
      <c r="O159" s="18"/>
      <c r="P159" s="18">
        <f>(O158+O156+O157)/2</f>
        <v>100</v>
      </c>
      <c r="Q159" s="18">
        <f>(I159+P159)/2</f>
        <v>100</v>
      </c>
      <c r="R159" s="465" t="s">
        <v>25</v>
      </c>
      <c r="S159" s="585"/>
      <c r="T159" s="2"/>
      <c r="U159" s="3"/>
    </row>
    <row r="160" spans="1:21" s="1" customFormat="1" ht="56.25" customHeight="1" x14ac:dyDescent="0.35">
      <c r="A160" s="569"/>
      <c r="B160" s="573"/>
      <c r="C160" s="454" t="s">
        <v>36</v>
      </c>
      <c r="D160" s="59" t="s">
        <v>130</v>
      </c>
      <c r="E160" s="454"/>
      <c r="F160" s="454"/>
      <c r="G160" s="454"/>
      <c r="H160" s="35"/>
      <c r="I160" s="35"/>
      <c r="J160" s="454" t="s">
        <v>36</v>
      </c>
      <c r="K160" s="59" t="s">
        <v>130</v>
      </c>
      <c r="L160" s="19"/>
      <c r="M160" s="19"/>
      <c r="N160" s="19"/>
      <c r="O160" s="35"/>
      <c r="P160" s="35"/>
      <c r="Q160" s="35"/>
      <c r="R160" s="19"/>
      <c r="S160" s="586"/>
      <c r="T160" s="2"/>
      <c r="U160" s="3"/>
    </row>
    <row r="161" spans="1:21" s="1" customFormat="1" ht="56.25" customHeight="1" x14ac:dyDescent="0.35">
      <c r="A161" s="569"/>
      <c r="B161" s="573"/>
      <c r="C161" s="19" t="s">
        <v>38</v>
      </c>
      <c r="D161" s="41" t="s">
        <v>208</v>
      </c>
      <c r="E161" s="19" t="s">
        <v>18</v>
      </c>
      <c r="F161" s="19">
        <v>100</v>
      </c>
      <c r="G161" s="19">
        <v>100</v>
      </c>
      <c r="H161" s="24">
        <f>IF(G161/F161*100&gt;100,100,G161/F161*100)</f>
        <v>100</v>
      </c>
      <c r="I161" s="19"/>
      <c r="J161" s="19" t="s">
        <v>38</v>
      </c>
      <c r="K161" s="455" t="s">
        <v>223</v>
      </c>
      <c r="L161" s="19" t="s">
        <v>158</v>
      </c>
      <c r="M161" s="19"/>
      <c r="N161" s="19"/>
      <c r="O161" s="24"/>
      <c r="P161" s="468"/>
      <c r="Q161" s="35"/>
      <c r="R161" s="19"/>
      <c r="S161" s="586"/>
      <c r="T161" s="2"/>
      <c r="U161" s="3"/>
    </row>
    <row r="162" spans="1:21" s="1" customFormat="1" ht="56.25" customHeight="1" x14ac:dyDescent="0.35">
      <c r="A162" s="569"/>
      <c r="B162" s="573"/>
      <c r="C162" s="19"/>
      <c r="D162" s="41"/>
      <c r="E162" s="19"/>
      <c r="F162" s="477"/>
      <c r="G162" s="477"/>
      <c r="H162" s="24"/>
      <c r="I162" s="19"/>
      <c r="J162" s="19" t="s">
        <v>234</v>
      </c>
      <c r="K162" s="455" t="s">
        <v>285</v>
      </c>
      <c r="L162" s="19" t="s">
        <v>158</v>
      </c>
      <c r="M162" s="19">
        <v>374</v>
      </c>
      <c r="N162" s="19">
        <v>374</v>
      </c>
      <c r="O162" s="24">
        <f>IF(N162/M162*100&gt;110,110,N162/M162*100)</f>
        <v>100</v>
      </c>
      <c r="P162" s="468"/>
      <c r="Q162" s="35"/>
      <c r="R162" s="19"/>
      <c r="S162" s="586"/>
      <c r="T162" s="2"/>
      <c r="U162" s="3"/>
    </row>
    <row r="163" spans="1:21" s="1" customFormat="1" ht="48" customHeight="1" x14ac:dyDescent="0.35">
      <c r="A163" s="570"/>
      <c r="B163" s="574"/>
      <c r="C163" s="20"/>
      <c r="D163" s="466" t="s">
        <v>644</v>
      </c>
      <c r="E163" s="465"/>
      <c r="F163" s="20"/>
      <c r="G163" s="20"/>
      <c r="H163" s="18"/>
      <c r="I163" s="18">
        <f>H161</f>
        <v>100</v>
      </c>
      <c r="J163" s="128"/>
      <c r="K163" s="466" t="s">
        <v>644</v>
      </c>
      <c r="L163" s="20"/>
      <c r="M163" s="124"/>
      <c r="N163" s="124"/>
      <c r="O163" s="18"/>
      <c r="P163" s="18">
        <f>O162</f>
        <v>100</v>
      </c>
      <c r="Q163" s="18">
        <f>(I163+P163)/2</f>
        <v>100</v>
      </c>
      <c r="R163" s="465" t="s">
        <v>25</v>
      </c>
      <c r="S163" s="587"/>
      <c r="T163" s="2"/>
      <c r="U163" s="3"/>
    </row>
    <row r="164" spans="1:21" s="1" customFormat="1" ht="94.5" customHeight="1" x14ac:dyDescent="0.35">
      <c r="A164" s="567">
        <v>11</v>
      </c>
      <c r="B164" s="571" t="s">
        <v>68</v>
      </c>
      <c r="C164" s="454" t="s">
        <v>13</v>
      </c>
      <c r="D164" s="59" t="s">
        <v>14</v>
      </c>
      <c r="E164" s="454"/>
      <c r="F164" s="454"/>
      <c r="G164" s="454"/>
      <c r="H164" s="35"/>
      <c r="I164" s="35"/>
      <c r="J164" s="454" t="s">
        <v>13</v>
      </c>
      <c r="K164" s="59" t="s">
        <v>14</v>
      </c>
      <c r="L164" s="19"/>
      <c r="M164" s="19"/>
      <c r="N164" s="19"/>
      <c r="O164" s="35"/>
      <c r="P164" s="468"/>
      <c r="Q164" s="35"/>
      <c r="R164" s="19"/>
      <c r="S164" s="584" t="s">
        <v>15</v>
      </c>
      <c r="T164" s="2"/>
    </row>
    <row r="165" spans="1:21" s="1" customFormat="1" ht="33" x14ac:dyDescent="0.35">
      <c r="A165" s="568"/>
      <c r="B165" s="572"/>
      <c r="C165" s="19" t="s">
        <v>16</v>
      </c>
      <c r="D165" s="41" t="s">
        <v>17</v>
      </c>
      <c r="E165" s="19" t="s">
        <v>18</v>
      </c>
      <c r="F165" s="19">
        <v>95</v>
      </c>
      <c r="G165" s="19">
        <v>99.3</v>
      </c>
      <c r="H165" s="24">
        <f>IF(G165/F165*100&gt;100,100,G165/F165*100)</f>
        <v>100</v>
      </c>
      <c r="I165" s="19"/>
      <c r="J165" s="19" t="s">
        <v>16</v>
      </c>
      <c r="K165" s="41" t="s">
        <v>43</v>
      </c>
      <c r="L165" s="19" t="s">
        <v>20</v>
      </c>
      <c r="M165" s="19">
        <v>44</v>
      </c>
      <c r="N165" s="19">
        <v>44</v>
      </c>
      <c r="O165" s="24">
        <f>IF(N165/M165*100&gt;110,110,N165/M165*100)</f>
        <v>100</v>
      </c>
      <c r="P165" s="468"/>
      <c r="Q165" s="35"/>
      <c r="R165" s="19"/>
      <c r="S165" s="585"/>
      <c r="T165" s="2"/>
    </row>
    <row r="166" spans="1:21" s="1" customFormat="1" ht="33" x14ac:dyDescent="0.35">
      <c r="A166" s="568"/>
      <c r="B166" s="572"/>
      <c r="C166" s="19"/>
      <c r="D166" s="41"/>
      <c r="E166" s="19"/>
      <c r="F166" s="19"/>
      <c r="G166" s="19"/>
      <c r="H166" s="24"/>
      <c r="I166" s="19"/>
      <c r="J166" s="19" t="s">
        <v>21</v>
      </c>
      <c r="K166" s="41" t="s">
        <v>29</v>
      </c>
      <c r="L166" s="19" t="s">
        <v>20</v>
      </c>
      <c r="M166" s="19">
        <v>186</v>
      </c>
      <c r="N166" s="19">
        <v>186</v>
      </c>
      <c r="O166" s="24">
        <f>IF(N166/M166*100&gt;110,110,N166/M166*100)</f>
        <v>100</v>
      </c>
      <c r="P166" s="468"/>
      <c r="Q166" s="35"/>
      <c r="R166" s="19"/>
      <c r="S166" s="585"/>
      <c r="T166" s="2"/>
    </row>
    <row r="167" spans="1:21" s="1" customFormat="1" ht="33" customHeight="1" x14ac:dyDescent="0.35">
      <c r="A167" s="568"/>
      <c r="B167" s="572"/>
      <c r="C167" s="19"/>
      <c r="D167" s="41"/>
      <c r="E167" s="19"/>
      <c r="F167" s="19"/>
      <c r="G167" s="19"/>
      <c r="H167" s="24"/>
      <c r="I167" s="19"/>
      <c r="J167" s="19" t="s">
        <v>23</v>
      </c>
      <c r="K167" s="41" t="s">
        <v>56</v>
      </c>
      <c r="L167" s="19" t="s">
        <v>20</v>
      </c>
      <c r="M167" s="19">
        <v>22</v>
      </c>
      <c r="N167" s="19">
        <v>22</v>
      </c>
      <c r="O167" s="24">
        <f>IF(N167/M167*100&gt;110,110,N167/M167*100)</f>
        <v>100</v>
      </c>
      <c r="P167" s="468"/>
      <c r="Q167" s="35"/>
      <c r="R167" s="19"/>
      <c r="S167" s="585"/>
      <c r="T167" s="2"/>
    </row>
    <row r="168" spans="1:21" s="1" customFormat="1" ht="53.25" customHeight="1" x14ac:dyDescent="0.35">
      <c r="A168" s="568"/>
      <c r="B168" s="572"/>
      <c r="C168" s="128"/>
      <c r="D168" s="466" t="s">
        <v>644</v>
      </c>
      <c r="E168" s="20"/>
      <c r="F168" s="127"/>
      <c r="G168" s="126"/>
      <c r="H168" s="18"/>
      <c r="I168" s="18">
        <f>H165</f>
        <v>100</v>
      </c>
      <c r="J168" s="20"/>
      <c r="K168" s="466" t="s">
        <v>644</v>
      </c>
      <c r="L168" s="20"/>
      <c r="M168" s="124"/>
      <c r="N168" s="124"/>
      <c r="O168" s="18"/>
      <c r="P168" s="18">
        <f>(O167+O165+O166)/3</f>
        <v>100</v>
      </c>
      <c r="Q168" s="18">
        <f>(I168+P168)/2</f>
        <v>100</v>
      </c>
      <c r="R168" s="465" t="s">
        <v>25</v>
      </c>
      <c r="S168" s="585"/>
      <c r="T168" s="2"/>
      <c r="U168" s="3"/>
    </row>
    <row r="169" spans="1:21" s="1" customFormat="1" x14ac:dyDescent="0.35">
      <c r="A169" s="568"/>
      <c r="B169" s="572"/>
      <c r="C169" s="454" t="s">
        <v>26</v>
      </c>
      <c r="D169" s="59" t="s">
        <v>27</v>
      </c>
      <c r="E169" s="19"/>
      <c r="F169" s="19"/>
      <c r="G169" s="19"/>
      <c r="H169" s="35"/>
      <c r="I169" s="35"/>
      <c r="J169" s="454" t="s">
        <v>26</v>
      </c>
      <c r="K169" s="59" t="s">
        <v>27</v>
      </c>
      <c r="L169" s="19"/>
      <c r="M169" s="476"/>
      <c r="N169" s="476"/>
      <c r="O169" s="35"/>
      <c r="P169" s="468"/>
      <c r="Q169" s="35"/>
      <c r="R169" s="19"/>
      <c r="S169" s="585"/>
      <c r="T169" s="2"/>
    </row>
    <row r="170" spans="1:21" s="1" customFormat="1" ht="33" x14ac:dyDescent="0.35">
      <c r="A170" s="568"/>
      <c r="B170" s="572"/>
      <c r="C170" s="19" t="s">
        <v>28</v>
      </c>
      <c r="D170" s="41" t="s">
        <v>17</v>
      </c>
      <c r="E170" s="19" t="s">
        <v>18</v>
      </c>
      <c r="F170" s="19">
        <v>95</v>
      </c>
      <c r="G170" s="19">
        <v>99.3</v>
      </c>
      <c r="H170" s="24">
        <f>IF(G170/F170*100&gt;100,100,G170/F170*100)</f>
        <v>100</v>
      </c>
      <c r="I170" s="19"/>
      <c r="J170" s="129" t="s">
        <v>28</v>
      </c>
      <c r="K170" s="41" t="s">
        <v>63</v>
      </c>
      <c r="L170" s="19" t="s">
        <v>20</v>
      </c>
      <c r="M170" s="19">
        <v>249</v>
      </c>
      <c r="N170" s="19">
        <v>249</v>
      </c>
      <c r="O170" s="24">
        <f>IF(N170/M170*100&gt;110,110,N170/M170*100)</f>
        <v>100</v>
      </c>
      <c r="P170" s="468"/>
      <c r="Q170" s="35"/>
      <c r="R170" s="19"/>
      <c r="S170" s="585"/>
      <c r="T170" s="2"/>
    </row>
    <row r="171" spans="1:21" s="1" customFormat="1" ht="33" x14ac:dyDescent="0.35">
      <c r="A171" s="568"/>
      <c r="B171" s="572"/>
      <c r="C171" s="19" t="s">
        <v>30</v>
      </c>
      <c r="D171" s="41" t="s">
        <v>31</v>
      </c>
      <c r="E171" s="19" t="s">
        <v>32</v>
      </c>
      <c r="F171" s="19">
        <v>35</v>
      </c>
      <c r="G171" s="19">
        <v>27</v>
      </c>
      <c r="H171" s="24">
        <f>IF(F171/G171*100&gt;100,100,F171/G171*100)</f>
        <v>100</v>
      </c>
      <c r="I171" s="19"/>
      <c r="J171" s="129" t="s">
        <v>30</v>
      </c>
      <c r="K171" s="41" t="s">
        <v>33</v>
      </c>
      <c r="L171" s="19" t="s">
        <v>20</v>
      </c>
      <c r="M171" s="19">
        <v>2</v>
      </c>
      <c r="N171" s="19">
        <v>2</v>
      </c>
      <c r="O171" s="24">
        <f>IF(N171/M171*100&gt;110,110,N171/M171*100)</f>
        <v>100</v>
      </c>
      <c r="P171" s="468"/>
      <c r="Q171" s="35"/>
      <c r="R171" s="19"/>
      <c r="S171" s="585"/>
      <c r="T171" s="2"/>
    </row>
    <row r="172" spans="1:21" s="1" customFormat="1" x14ac:dyDescent="0.35">
      <c r="A172" s="568"/>
      <c r="B172" s="572"/>
      <c r="C172" s="19"/>
      <c r="D172" s="41"/>
      <c r="E172" s="19"/>
      <c r="F172" s="19"/>
      <c r="G172" s="19"/>
      <c r="H172" s="24"/>
      <c r="I172" s="19"/>
      <c r="J172" s="129" t="s">
        <v>34</v>
      </c>
      <c r="K172" s="41" t="s">
        <v>35</v>
      </c>
      <c r="L172" s="19" t="s">
        <v>20</v>
      </c>
      <c r="M172" s="19">
        <v>1</v>
      </c>
      <c r="N172" s="19">
        <v>1</v>
      </c>
      <c r="O172" s="24">
        <f>IF(N172/M172*100&gt;110,110,N172/M172*100)</f>
        <v>100</v>
      </c>
      <c r="P172" s="468"/>
      <c r="Q172" s="35"/>
      <c r="R172" s="19"/>
      <c r="S172" s="585"/>
      <c r="T172" s="2"/>
    </row>
    <row r="173" spans="1:21" s="1" customFormat="1" ht="42" customHeight="1" x14ac:dyDescent="0.35">
      <c r="A173" s="568"/>
      <c r="B173" s="572"/>
      <c r="C173" s="128"/>
      <c r="D173" s="466" t="s">
        <v>644</v>
      </c>
      <c r="E173" s="20"/>
      <c r="F173" s="127"/>
      <c r="G173" s="126"/>
      <c r="H173" s="18"/>
      <c r="I173" s="18">
        <f>(H170+H171)/2</f>
        <v>100</v>
      </c>
      <c r="J173" s="20"/>
      <c r="K173" s="466" t="s">
        <v>644</v>
      </c>
      <c r="L173" s="20"/>
      <c r="M173" s="124"/>
      <c r="N173" s="124"/>
      <c r="O173" s="18"/>
      <c r="P173" s="18">
        <f>(O172+O170+O171)/3</f>
        <v>100</v>
      </c>
      <c r="Q173" s="18">
        <f>(I173+P173)/2</f>
        <v>100</v>
      </c>
      <c r="R173" s="465" t="s">
        <v>25</v>
      </c>
      <c r="S173" s="585"/>
      <c r="T173" s="2"/>
      <c r="U173" s="3"/>
    </row>
    <row r="174" spans="1:21" s="1" customFormat="1" ht="56.25" customHeight="1" x14ac:dyDescent="0.35">
      <c r="A174" s="569"/>
      <c r="B174" s="573"/>
      <c r="C174" s="454" t="s">
        <v>36</v>
      </c>
      <c r="D174" s="59" t="s">
        <v>130</v>
      </c>
      <c r="E174" s="454"/>
      <c r="F174" s="454"/>
      <c r="G174" s="454"/>
      <c r="H174" s="35"/>
      <c r="I174" s="35"/>
      <c r="J174" s="454" t="s">
        <v>36</v>
      </c>
      <c r="K174" s="59" t="s">
        <v>130</v>
      </c>
      <c r="L174" s="19"/>
      <c r="M174" s="19"/>
      <c r="N174" s="19"/>
      <c r="O174" s="35"/>
      <c r="P174" s="35"/>
      <c r="Q174" s="35"/>
      <c r="R174" s="19"/>
      <c r="S174" s="586"/>
      <c r="T174" s="2"/>
      <c r="U174" s="3"/>
    </row>
    <row r="175" spans="1:21" s="1" customFormat="1" ht="56.25" customHeight="1" x14ac:dyDescent="0.35">
      <c r="A175" s="569"/>
      <c r="B175" s="573"/>
      <c r="C175" s="19" t="s">
        <v>38</v>
      </c>
      <c r="D175" s="41" t="s">
        <v>208</v>
      </c>
      <c r="E175" s="19" t="s">
        <v>18</v>
      </c>
      <c r="F175" s="19">
        <v>100</v>
      </c>
      <c r="G175" s="19">
        <v>100</v>
      </c>
      <c r="H175" s="24">
        <f>IF(G175/F175*100&gt;100,100,G175/F175*100)</f>
        <v>100</v>
      </c>
      <c r="I175" s="19"/>
      <c r="J175" s="19" t="s">
        <v>38</v>
      </c>
      <c r="K175" s="455" t="s">
        <v>223</v>
      </c>
      <c r="L175" s="19" t="s">
        <v>158</v>
      </c>
      <c r="M175" s="19"/>
      <c r="N175" s="19"/>
      <c r="O175" s="24"/>
      <c r="P175" s="468"/>
      <c r="Q175" s="35"/>
      <c r="R175" s="19"/>
      <c r="S175" s="586"/>
      <c r="T175" s="2"/>
      <c r="U175" s="3"/>
    </row>
    <row r="176" spans="1:21" s="1" customFormat="1" ht="56.25" customHeight="1" x14ac:dyDescent="0.35">
      <c r="A176" s="569"/>
      <c r="B176" s="573"/>
      <c r="C176" s="19"/>
      <c r="D176" s="41"/>
      <c r="E176" s="19"/>
      <c r="F176" s="477"/>
      <c r="G176" s="477"/>
      <c r="H176" s="24"/>
      <c r="I176" s="19"/>
      <c r="J176" s="19" t="s">
        <v>234</v>
      </c>
      <c r="K176" s="455" t="s">
        <v>287</v>
      </c>
      <c r="L176" s="19" t="s">
        <v>158</v>
      </c>
      <c r="M176" s="19">
        <v>374</v>
      </c>
      <c r="N176" s="19">
        <v>374</v>
      </c>
      <c r="O176" s="24">
        <f>IF(N176/M176*100&gt;110,110,N176/M176*100)</f>
        <v>100</v>
      </c>
      <c r="P176" s="468"/>
      <c r="Q176" s="35"/>
      <c r="R176" s="19"/>
      <c r="S176" s="586"/>
      <c r="T176" s="2"/>
      <c r="U176" s="3"/>
    </row>
    <row r="177" spans="1:21" s="1" customFormat="1" ht="45" customHeight="1" x14ac:dyDescent="0.35">
      <c r="A177" s="570"/>
      <c r="B177" s="574"/>
      <c r="C177" s="20"/>
      <c r="D177" s="466" t="s">
        <v>644</v>
      </c>
      <c r="E177" s="465"/>
      <c r="F177" s="20"/>
      <c r="G177" s="20"/>
      <c r="H177" s="18"/>
      <c r="I177" s="18">
        <f>H175</f>
        <v>100</v>
      </c>
      <c r="J177" s="128"/>
      <c r="K177" s="466" t="s">
        <v>644</v>
      </c>
      <c r="L177" s="20"/>
      <c r="M177" s="124"/>
      <c r="N177" s="124"/>
      <c r="O177" s="18"/>
      <c r="P177" s="18">
        <f>O176</f>
        <v>100</v>
      </c>
      <c r="Q177" s="18">
        <f>(I177+P177)/2</f>
        <v>100</v>
      </c>
      <c r="R177" s="465" t="s">
        <v>25</v>
      </c>
      <c r="S177" s="587"/>
      <c r="T177" s="2"/>
      <c r="U177" s="3"/>
    </row>
    <row r="178" spans="1:21" s="1" customFormat="1" ht="90" customHeight="1" x14ac:dyDescent="0.35">
      <c r="A178" s="567">
        <v>12</v>
      </c>
      <c r="B178" s="571" t="s">
        <v>69</v>
      </c>
      <c r="C178" s="454" t="s">
        <v>13</v>
      </c>
      <c r="D178" s="59" t="s">
        <v>14</v>
      </c>
      <c r="E178" s="454"/>
      <c r="F178" s="454"/>
      <c r="G178" s="454"/>
      <c r="H178" s="35"/>
      <c r="I178" s="35"/>
      <c r="J178" s="454" t="s">
        <v>13</v>
      </c>
      <c r="K178" s="59" t="s">
        <v>14</v>
      </c>
      <c r="L178" s="19"/>
      <c r="M178" s="19"/>
      <c r="N178" s="19"/>
      <c r="O178" s="35"/>
      <c r="P178" s="468"/>
      <c r="Q178" s="35"/>
      <c r="R178" s="19"/>
      <c r="S178" s="584" t="s">
        <v>15</v>
      </c>
      <c r="T178" s="2"/>
    </row>
    <row r="179" spans="1:21" s="1" customFormat="1" ht="33" x14ac:dyDescent="0.35">
      <c r="A179" s="568"/>
      <c r="B179" s="572"/>
      <c r="C179" s="19" t="s">
        <v>16</v>
      </c>
      <c r="D179" s="41" t="s">
        <v>17</v>
      </c>
      <c r="E179" s="19" t="s">
        <v>18</v>
      </c>
      <c r="F179" s="19">
        <v>95</v>
      </c>
      <c r="G179" s="19">
        <v>97</v>
      </c>
      <c r="H179" s="24">
        <f>IF(G179/F179*100&gt;100,100,G179/F179*100)</f>
        <v>100</v>
      </c>
      <c r="I179" s="19"/>
      <c r="J179" s="19" t="s">
        <v>16</v>
      </c>
      <c r="K179" s="41" t="s">
        <v>43</v>
      </c>
      <c r="L179" s="19" t="s">
        <v>20</v>
      </c>
      <c r="M179" s="19">
        <v>55</v>
      </c>
      <c r="N179" s="19">
        <v>55</v>
      </c>
      <c r="O179" s="24">
        <f>IF(N179/M179*100&gt;110,110,N179/M179*100)</f>
        <v>100</v>
      </c>
      <c r="P179" s="468"/>
      <c r="Q179" s="35"/>
      <c r="R179" s="19"/>
      <c r="S179" s="585"/>
      <c r="T179" s="2"/>
    </row>
    <row r="180" spans="1:21" s="1" customFormat="1" ht="33" x14ac:dyDescent="0.35">
      <c r="A180" s="568"/>
      <c r="B180" s="572"/>
      <c r="C180" s="19"/>
      <c r="D180" s="41"/>
      <c r="E180" s="19"/>
      <c r="F180" s="19"/>
      <c r="G180" s="19"/>
      <c r="H180" s="24"/>
      <c r="I180" s="19"/>
      <c r="J180" s="19" t="s">
        <v>21</v>
      </c>
      <c r="K180" s="41" t="s">
        <v>29</v>
      </c>
      <c r="L180" s="19" t="s">
        <v>20</v>
      </c>
      <c r="M180" s="19">
        <v>177</v>
      </c>
      <c r="N180" s="19">
        <v>177</v>
      </c>
      <c r="O180" s="24">
        <f>IF(N180/M180*100&gt;110,110,N180/M180*100)</f>
        <v>100</v>
      </c>
      <c r="P180" s="468"/>
      <c r="Q180" s="35"/>
      <c r="R180" s="19"/>
      <c r="S180" s="585"/>
      <c r="T180" s="2"/>
    </row>
    <row r="181" spans="1:21" s="1" customFormat="1" ht="38.25" customHeight="1" x14ac:dyDescent="0.35">
      <c r="A181" s="568"/>
      <c r="B181" s="572"/>
      <c r="C181" s="19"/>
      <c r="D181" s="41"/>
      <c r="E181" s="19"/>
      <c r="F181" s="19"/>
      <c r="G181" s="19"/>
      <c r="H181" s="24"/>
      <c r="I181" s="19"/>
      <c r="J181" s="19" t="s">
        <v>23</v>
      </c>
      <c r="K181" s="41" t="s">
        <v>56</v>
      </c>
      <c r="L181" s="19" t="s">
        <v>20</v>
      </c>
      <c r="M181" s="19">
        <v>20</v>
      </c>
      <c r="N181" s="19">
        <v>20</v>
      </c>
      <c r="O181" s="24">
        <f>IF(N181/M181*100&gt;110,110,N181/M181*100)</f>
        <v>100</v>
      </c>
      <c r="P181" s="468"/>
      <c r="Q181" s="35"/>
      <c r="R181" s="19"/>
      <c r="S181" s="585"/>
      <c r="T181" s="2"/>
    </row>
    <row r="182" spans="1:21" s="1" customFormat="1" ht="42.75" customHeight="1" x14ac:dyDescent="0.35">
      <c r="A182" s="568"/>
      <c r="B182" s="572"/>
      <c r="C182" s="128"/>
      <c r="D182" s="466" t="s">
        <v>644</v>
      </c>
      <c r="E182" s="20"/>
      <c r="F182" s="127"/>
      <c r="G182" s="126"/>
      <c r="H182" s="18"/>
      <c r="I182" s="18">
        <f>H179</f>
        <v>100</v>
      </c>
      <c r="J182" s="20"/>
      <c r="K182" s="466" t="s">
        <v>644</v>
      </c>
      <c r="L182" s="20"/>
      <c r="M182" s="124"/>
      <c r="N182" s="124"/>
      <c r="O182" s="18"/>
      <c r="P182" s="18">
        <f>(O181+O179+O180)/3</f>
        <v>100</v>
      </c>
      <c r="Q182" s="18">
        <f>(I182+P182)/2</f>
        <v>100</v>
      </c>
      <c r="R182" s="465" t="s">
        <v>25</v>
      </c>
      <c r="S182" s="585"/>
      <c r="T182" s="2"/>
      <c r="U182" s="3"/>
    </row>
    <row r="183" spans="1:21" s="1" customFormat="1" ht="75" customHeight="1" x14ac:dyDescent="0.35">
      <c r="A183" s="568"/>
      <c r="B183" s="572"/>
      <c r="C183" s="454" t="s">
        <v>26</v>
      </c>
      <c r="D183" s="59" t="s">
        <v>27</v>
      </c>
      <c r="E183" s="19"/>
      <c r="F183" s="19"/>
      <c r="G183" s="19"/>
      <c r="H183" s="35"/>
      <c r="I183" s="35"/>
      <c r="J183" s="454" t="s">
        <v>26</v>
      </c>
      <c r="K183" s="59" t="s">
        <v>27</v>
      </c>
      <c r="L183" s="19"/>
      <c r="M183" s="476"/>
      <c r="N183" s="476"/>
      <c r="O183" s="35"/>
      <c r="P183" s="468"/>
      <c r="Q183" s="35"/>
      <c r="R183" s="19"/>
      <c r="S183" s="585"/>
      <c r="T183" s="2"/>
    </row>
    <row r="184" spans="1:21" s="1" customFormat="1" ht="33" x14ac:dyDescent="0.35">
      <c r="A184" s="568"/>
      <c r="B184" s="572"/>
      <c r="C184" s="19" t="s">
        <v>28</v>
      </c>
      <c r="D184" s="41" t="s">
        <v>17</v>
      </c>
      <c r="E184" s="19" t="s">
        <v>18</v>
      </c>
      <c r="F184" s="19">
        <v>95</v>
      </c>
      <c r="G184" s="19">
        <v>99</v>
      </c>
      <c r="H184" s="24">
        <f>IF(G184/F184*100&gt;100,100,G184/F184*100)</f>
        <v>100</v>
      </c>
      <c r="I184" s="19"/>
      <c r="J184" s="129" t="s">
        <v>28</v>
      </c>
      <c r="K184" s="41" t="s">
        <v>63</v>
      </c>
      <c r="L184" s="19" t="s">
        <v>20</v>
      </c>
      <c r="M184" s="19">
        <v>251</v>
      </c>
      <c r="N184" s="19">
        <v>251</v>
      </c>
      <c r="O184" s="24">
        <f>IF(N184/M184*100&gt;110,110,N184/M184*100)</f>
        <v>100</v>
      </c>
      <c r="P184" s="468"/>
      <c r="Q184" s="35"/>
      <c r="R184" s="19"/>
      <c r="S184" s="585"/>
      <c r="T184" s="2"/>
    </row>
    <row r="185" spans="1:21" s="1" customFormat="1" ht="33" x14ac:dyDescent="0.35">
      <c r="A185" s="568"/>
      <c r="B185" s="572"/>
      <c r="C185" s="19" t="s">
        <v>30</v>
      </c>
      <c r="D185" s="41" t="s">
        <v>31</v>
      </c>
      <c r="E185" s="19" t="s">
        <v>32</v>
      </c>
      <c r="F185" s="19">
        <v>35</v>
      </c>
      <c r="G185" s="19">
        <v>27.2</v>
      </c>
      <c r="H185" s="24">
        <f>IF(F185/G185*100&gt;100,100,F185/G185*100)</f>
        <v>100</v>
      </c>
      <c r="I185" s="19"/>
      <c r="J185" s="129" t="s">
        <v>30</v>
      </c>
      <c r="K185" s="41" t="s">
        <v>33</v>
      </c>
      <c r="L185" s="19" t="s">
        <v>20</v>
      </c>
      <c r="M185" s="19">
        <v>1</v>
      </c>
      <c r="N185" s="19">
        <v>1</v>
      </c>
      <c r="O185" s="24">
        <f>IF(N185/M185*100&gt;110,110,N185/M185*100)</f>
        <v>100</v>
      </c>
      <c r="P185" s="468"/>
      <c r="Q185" s="35"/>
      <c r="R185" s="19"/>
      <c r="S185" s="585"/>
      <c r="T185" s="2"/>
    </row>
    <row r="186" spans="1:21" s="1" customFormat="1" ht="39.75" customHeight="1" x14ac:dyDescent="0.35">
      <c r="A186" s="568"/>
      <c r="B186" s="572"/>
      <c r="C186" s="128"/>
      <c r="D186" s="466" t="s">
        <v>644</v>
      </c>
      <c r="E186" s="20"/>
      <c r="F186" s="127"/>
      <c r="G186" s="126"/>
      <c r="H186" s="18"/>
      <c r="I186" s="18">
        <f>(H184+H185)/2</f>
        <v>100</v>
      </c>
      <c r="J186" s="20"/>
      <c r="K186" s="466" t="s">
        <v>644</v>
      </c>
      <c r="L186" s="20"/>
      <c r="M186" s="124"/>
      <c r="N186" s="124"/>
      <c r="O186" s="18"/>
      <c r="P186" s="18">
        <f>O184</f>
        <v>100</v>
      </c>
      <c r="Q186" s="18">
        <f>(I186+P186)/2</f>
        <v>100</v>
      </c>
      <c r="R186" s="465" t="s">
        <v>25</v>
      </c>
      <c r="S186" s="585"/>
      <c r="T186" s="2"/>
      <c r="U186" s="3"/>
    </row>
    <row r="187" spans="1:21" s="1" customFormat="1" ht="56.25" customHeight="1" x14ac:dyDescent="0.35">
      <c r="A187" s="569"/>
      <c r="B187" s="573"/>
      <c r="C187" s="454" t="s">
        <v>36</v>
      </c>
      <c r="D187" s="59" t="s">
        <v>130</v>
      </c>
      <c r="E187" s="454"/>
      <c r="F187" s="454"/>
      <c r="G187" s="454"/>
      <c r="H187" s="35"/>
      <c r="I187" s="35"/>
      <c r="J187" s="454" t="s">
        <v>36</v>
      </c>
      <c r="K187" s="59" t="s">
        <v>130</v>
      </c>
      <c r="L187" s="19"/>
      <c r="M187" s="19"/>
      <c r="N187" s="19"/>
      <c r="O187" s="35"/>
      <c r="P187" s="35"/>
      <c r="Q187" s="35"/>
      <c r="R187" s="19"/>
      <c r="S187" s="586"/>
      <c r="T187" s="2"/>
      <c r="U187" s="3"/>
    </row>
    <row r="188" spans="1:21" s="1" customFormat="1" ht="56.25" customHeight="1" x14ac:dyDescent="0.35">
      <c r="A188" s="569"/>
      <c r="B188" s="573"/>
      <c r="C188" s="19" t="s">
        <v>38</v>
      </c>
      <c r="D188" s="41" t="s">
        <v>208</v>
      </c>
      <c r="E188" s="19" t="s">
        <v>18</v>
      </c>
      <c r="F188" s="19">
        <v>100</v>
      </c>
      <c r="G188" s="19">
        <v>100</v>
      </c>
      <c r="H188" s="24">
        <f>IF(G188/F188*100&gt;100,100,G188/F188*100)</f>
        <v>100</v>
      </c>
      <c r="I188" s="19"/>
      <c r="J188" s="19" t="s">
        <v>38</v>
      </c>
      <c r="K188" s="455" t="s">
        <v>223</v>
      </c>
      <c r="L188" s="19" t="s">
        <v>158</v>
      </c>
      <c r="M188" s="19"/>
      <c r="N188" s="19"/>
      <c r="O188" s="24"/>
      <c r="P188" s="468"/>
      <c r="Q188" s="35"/>
      <c r="R188" s="19"/>
      <c r="S188" s="586"/>
      <c r="T188" s="2"/>
      <c r="U188" s="3"/>
    </row>
    <row r="189" spans="1:21" s="1" customFormat="1" ht="56.25" customHeight="1" x14ac:dyDescent="0.35">
      <c r="A189" s="569"/>
      <c r="B189" s="573"/>
      <c r="C189" s="19"/>
      <c r="D189" s="41"/>
      <c r="E189" s="19"/>
      <c r="F189" s="477"/>
      <c r="G189" s="477"/>
      <c r="H189" s="24"/>
      <c r="I189" s="19"/>
      <c r="J189" s="19" t="s">
        <v>234</v>
      </c>
      <c r="K189" s="455" t="s">
        <v>229</v>
      </c>
      <c r="L189" s="19" t="s">
        <v>158</v>
      </c>
      <c r="M189" s="19">
        <v>374</v>
      </c>
      <c r="N189" s="19">
        <v>374</v>
      </c>
      <c r="O189" s="24">
        <f>IF(N189/M189*100&gt;110,110,N189/M189*100)</f>
        <v>100</v>
      </c>
      <c r="P189" s="468"/>
      <c r="Q189" s="35"/>
      <c r="R189" s="19"/>
      <c r="S189" s="586"/>
      <c r="T189" s="2"/>
      <c r="U189" s="3"/>
    </row>
    <row r="190" spans="1:21" s="1" customFormat="1" ht="48" customHeight="1" x14ac:dyDescent="0.35">
      <c r="A190" s="570"/>
      <c r="B190" s="574"/>
      <c r="C190" s="20"/>
      <c r="D190" s="466" t="s">
        <v>644</v>
      </c>
      <c r="E190" s="465"/>
      <c r="F190" s="20"/>
      <c r="G190" s="20"/>
      <c r="H190" s="18"/>
      <c r="I190" s="18">
        <f>H188</f>
        <v>100</v>
      </c>
      <c r="J190" s="128"/>
      <c r="K190" s="466" t="s">
        <v>644</v>
      </c>
      <c r="L190" s="20"/>
      <c r="M190" s="124"/>
      <c r="N190" s="124"/>
      <c r="O190" s="18"/>
      <c r="P190" s="18">
        <f>O189</f>
        <v>100</v>
      </c>
      <c r="Q190" s="18">
        <f>(I190+P190)/2</f>
        <v>100</v>
      </c>
      <c r="R190" s="465" t="s">
        <v>25</v>
      </c>
      <c r="S190" s="587"/>
      <c r="T190" s="2"/>
      <c r="U190" s="3"/>
    </row>
    <row r="191" spans="1:21" s="1" customFormat="1" ht="78.75" customHeight="1" x14ac:dyDescent="0.35">
      <c r="A191" s="567">
        <v>13</v>
      </c>
      <c r="B191" s="571" t="s">
        <v>70</v>
      </c>
      <c r="C191" s="454" t="s">
        <v>13</v>
      </c>
      <c r="D191" s="59" t="s">
        <v>14</v>
      </c>
      <c r="E191" s="454"/>
      <c r="F191" s="454"/>
      <c r="G191" s="454"/>
      <c r="H191" s="35"/>
      <c r="I191" s="35"/>
      <c r="J191" s="454" t="s">
        <v>13</v>
      </c>
      <c r="K191" s="59" t="s">
        <v>14</v>
      </c>
      <c r="L191" s="19"/>
      <c r="M191" s="19"/>
      <c r="N191" s="19"/>
      <c r="O191" s="35"/>
      <c r="P191" s="468"/>
      <c r="Q191" s="35"/>
      <c r="R191" s="19"/>
      <c r="S191" s="584" t="s">
        <v>15</v>
      </c>
      <c r="T191" s="2"/>
    </row>
    <row r="192" spans="1:21" s="1" customFormat="1" ht="33" x14ac:dyDescent="0.35">
      <c r="A192" s="568"/>
      <c r="B192" s="572"/>
      <c r="C192" s="19" t="s">
        <v>16</v>
      </c>
      <c r="D192" s="41" t="s">
        <v>17</v>
      </c>
      <c r="E192" s="19" t="s">
        <v>18</v>
      </c>
      <c r="F192" s="19">
        <v>95</v>
      </c>
      <c r="G192" s="19">
        <v>100</v>
      </c>
      <c r="H192" s="24">
        <f>IF(G192/F192*100&gt;100,100,G192/F192*100)</f>
        <v>100</v>
      </c>
      <c r="I192" s="19"/>
      <c r="J192" s="19" t="s">
        <v>16</v>
      </c>
      <c r="K192" s="41" t="s">
        <v>43</v>
      </c>
      <c r="L192" s="19" t="s">
        <v>20</v>
      </c>
      <c r="M192" s="19">
        <v>51</v>
      </c>
      <c r="N192" s="19">
        <v>51</v>
      </c>
      <c r="O192" s="24">
        <f>IF(N192/M192*100&gt;110,110,N192/M192*100)</f>
        <v>100</v>
      </c>
      <c r="P192" s="468"/>
      <c r="Q192" s="35"/>
      <c r="R192" s="19"/>
      <c r="S192" s="585"/>
      <c r="T192" s="2"/>
    </row>
    <row r="193" spans="1:21" s="1" customFormat="1" ht="33" x14ac:dyDescent="0.35">
      <c r="A193" s="568"/>
      <c r="B193" s="572"/>
      <c r="C193" s="19"/>
      <c r="D193" s="41"/>
      <c r="E193" s="19"/>
      <c r="F193" s="19"/>
      <c r="G193" s="19"/>
      <c r="H193" s="24"/>
      <c r="I193" s="19"/>
      <c r="J193" s="19" t="s">
        <v>21</v>
      </c>
      <c r="K193" s="41" t="s">
        <v>29</v>
      </c>
      <c r="L193" s="19" t="s">
        <v>20</v>
      </c>
      <c r="M193" s="19">
        <v>127</v>
      </c>
      <c r="N193" s="19">
        <v>127</v>
      </c>
      <c r="O193" s="24">
        <f>IF(N193/M193*100&gt;110,110,N193/M193*100)</f>
        <v>100</v>
      </c>
      <c r="P193" s="468"/>
      <c r="Q193" s="35"/>
      <c r="R193" s="19"/>
      <c r="S193" s="585"/>
      <c r="T193" s="2"/>
    </row>
    <row r="194" spans="1:21" s="1" customFormat="1" ht="45.75" customHeight="1" x14ac:dyDescent="0.35">
      <c r="A194" s="568"/>
      <c r="B194" s="572"/>
      <c r="C194" s="19"/>
      <c r="D194" s="41"/>
      <c r="E194" s="19"/>
      <c r="F194" s="19"/>
      <c r="G194" s="19"/>
      <c r="H194" s="24"/>
      <c r="I194" s="19"/>
      <c r="J194" s="19" t="s">
        <v>23</v>
      </c>
      <c r="K194" s="41" t="s">
        <v>44</v>
      </c>
      <c r="L194" s="19" t="s">
        <v>20</v>
      </c>
      <c r="M194" s="19">
        <v>23</v>
      </c>
      <c r="N194" s="19">
        <v>23</v>
      </c>
      <c r="O194" s="24">
        <f>IF(N194/M194*100&gt;110,110,N194/M194*100)</f>
        <v>100</v>
      </c>
      <c r="P194" s="468"/>
      <c r="Q194" s="35"/>
      <c r="R194" s="19"/>
      <c r="S194" s="585"/>
      <c r="T194" s="2"/>
    </row>
    <row r="195" spans="1:21" s="1" customFormat="1" ht="53.25" customHeight="1" x14ac:dyDescent="0.35">
      <c r="A195" s="568"/>
      <c r="B195" s="572"/>
      <c r="C195" s="128"/>
      <c r="D195" s="466" t="s">
        <v>644</v>
      </c>
      <c r="E195" s="20"/>
      <c r="F195" s="127"/>
      <c r="G195" s="126"/>
      <c r="H195" s="18"/>
      <c r="I195" s="18">
        <f>H192</f>
        <v>100</v>
      </c>
      <c r="J195" s="20"/>
      <c r="K195" s="466" t="s">
        <v>644</v>
      </c>
      <c r="L195" s="20"/>
      <c r="M195" s="124"/>
      <c r="N195" s="124"/>
      <c r="O195" s="18"/>
      <c r="P195" s="18">
        <f>(O194+O192+O193)/3</f>
        <v>100</v>
      </c>
      <c r="Q195" s="18">
        <f>(I195+P195)/2</f>
        <v>100</v>
      </c>
      <c r="R195" s="465" t="s">
        <v>25</v>
      </c>
      <c r="S195" s="585"/>
      <c r="T195" s="2"/>
      <c r="U195" s="3"/>
    </row>
    <row r="196" spans="1:21" s="1" customFormat="1" ht="51" customHeight="1" x14ac:dyDescent="0.35">
      <c r="A196" s="568"/>
      <c r="B196" s="572"/>
      <c r="C196" s="454" t="s">
        <v>26</v>
      </c>
      <c r="D196" s="59" t="s">
        <v>27</v>
      </c>
      <c r="E196" s="19"/>
      <c r="F196" s="19"/>
      <c r="G196" s="19"/>
      <c r="H196" s="35"/>
      <c r="I196" s="35"/>
      <c r="J196" s="454" t="s">
        <v>26</v>
      </c>
      <c r="K196" s="59" t="s">
        <v>27</v>
      </c>
      <c r="L196" s="19"/>
      <c r="M196" s="476"/>
      <c r="N196" s="476"/>
      <c r="O196" s="35"/>
      <c r="P196" s="468"/>
      <c r="Q196" s="35"/>
      <c r="R196" s="19"/>
      <c r="S196" s="585"/>
      <c r="T196" s="2"/>
    </row>
    <row r="197" spans="1:21" s="1" customFormat="1" ht="33" x14ac:dyDescent="0.35">
      <c r="A197" s="568"/>
      <c r="B197" s="572"/>
      <c r="C197" s="19" t="s">
        <v>28</v>
      </c>
      <c r="D197" s="41" t="s">
        <v>17</v>
      </c>
      <c r="E197" s="19" t="s">
        <v>18</v>
      </c>
      <c r="F197" s="19">
        <v>95</v>
      </c>
      <c r="G197" s="19">
        <v>100</v>
      </c>
      <c r="H197" s="24">
        <f>IF(G197/F197*100&gt;100,100,G197/F197*100)</f>
        <v>100</v>
      </c>
      <c r="I197" s="19"/>
      <c r="J197" s="129" t="s">
        <v>28</v>
      </c>
      <c r="K197" s="41" t="s">
        <v>63</v>
      </c>
      <c r="L197" s="19" t="s">
        <v>20</v>
      </c>
      <c r="M197" s="19">
        <v>200</v>
      </c>
      <c r="N197" s="19">
        <v>200</v>
      </c>
      <c r="O197" s="24">
        <f>IF(N197/M197*100&gt;110,110,N197/M197*100)</f>
        <v>100</v>
      </c>
      <c r="P197" s="468"/>
      <c r="Q197" s="35"/>
      <c r="R197" s="19"/>
      <c r="S197" s="585"/>
      <c r="T197" s="2"/>
    </row>
    <row r="198" spans="1:21" s="1" customFormat="1" ht="33" x14ac:dyDescent="0.35">
      <c r="A198" s="568"/>
      <c r="B198" s="572"/>
      <c r="C198" s="19" t="s">
        <v>30</v>
      </c>
      <c r="D198" s="41" t="s">
        <v>31</v>
      </c>
      <c r="E198" s="19" t="s">
        <v>32</v>
      </c>
      <c r="F198" s="19">
        <v>35</v>
      </c>
      <c r="G198" s="19">
        <v>28.8</v>
      </c>
      <c r="H198" s="24">
        <f>IF(F198/G198*100&gt;100,100,F198/G198*100)</f>
        <v>100</v>
      </c>
      <c r="I198" s="19"/>
      <c r="J198" s="129" t="s">
        <v>30</v>
      </c>
      <c r="K198" s="41" t="s">
        <v>35</v>
      </c>
      <c r="L198" s="19" t="s">
        <v>20</v>
      </c>
      <c r="M198" s="19">
        <v>1</v>
      </c>
      <c r="N198" s="19">
        <v>1</v>
      </c>
      <c r="O198" s="24">
        <f>IF(N198/M198*100&gt;110,110,N198/M198*100)</f>
        <v>100</v>
      </c>
      <c r="P198" s="468"/>
      <c r="Q198" s="35"/>
      <c r="R198" s="19"/>
      <c r="S198" s="585"/>
      <c r="T198" s="2"/>
    </row>
    <row r="199" spans="1:21" s="1" customFormat="1" ht="45.75" customHeight="1" x14ac:dyDescent="0.35">
      <c r="A199" s="568"/>
      <c r="B199" s="572"/>
      <c r="C199" s="128"/>
      <c r="D199" s="466" t="s">
        <v>644</v>
      </c>
      <c r="E199" s="20"/>
      <c r="F199" s="127"/>
      <c r="G199" s="126"/>
      <c r="H199" s="18"/>
      <c r="I199" s="18">
        <f>(H198+H197)/2</f>
        <v>100</v>
      </c>
      <c r="J199" s="20"/>
      <c r="K199" s="466" t="s">
        <v>644</v>
      </c>
      <c r="L199" s="20"/>
      <c r="M199" s="124"/>
      <c r="N199" s="124"/>
      <c r="O199" s="18"/>
      <c r="P199" s="18">
        <f>(O197)/1</f>
        <v>100</v>
      </c>
      <c r="Q199" s="18">
        <f>(I199+P199)/2</f>
        <v>100</v>
      </c>
      <c r="R199" s="465" t="s">
        <v>25</v>
      </c>
      <c r="S199" s="585"/>
      <c r="T199" s="2"/>
      <c r="U199" s="3"/>
    </row>
    <row r="200" spans="1:21" s="1" customFormat="1" ht="56.25" customHeight="1" x14ac:dyDescent="0.35">
      <c r="A200" s="569"/>
      <c r="B200" s="573"/>
      <c r="C200" s="454" t="s">
        <v>36</v>
      </c>
      <c r="D200" s="59" t="s">
        <v>130</v>
      </c>
      <c r="E200" s="454"/>
      <c r="F200" s="454"/>
      <c r="G200" s="454"/>
      <c r="H200" s="35"/>
      <c r="I200" s="35"/>
      <c r="J200" s="454" t="s">
        <v>36</v>
      </c>
      <c r="K200" s="59" t="s">
        <v>130</v>
      </c>
      <c r="L200" s="19"/>
      <c r="M200" s="19"/>
      <c r="N200" s="19"/>
      <c r="O200" s="35"/>
      <c r="P200" s="35"/>
      <c r="Q200" s="35"/>
      <c r="R200" s="19"/>
      <c r="S200" s="586"/>
      <c r="T200" s="2"/>
      <c r="U200" s="3"/>
    </row>
    <row r="201" spans="1:21" s="1" customFormat="1" ht="56.25" customHeight="1" x14ac:dyDescent="0.35">
      <c r="A201" s="569"/>
      <c r="B201" s="573"/>
      <c r="C201" s="19" t="s">
        <v>38</v>
      </c>
      <c r="D201" s="41" t="s">
        <v>208</v>
      </c>
      <c r="E201" s="19" t="s">
        <v>18</v>
      </c>
      <c r="F201" s="19">
        <v>100</v>
      </c>
      <c r="G201" s="19">
        <v>100</v>
      </c>
      <c r="H201" s="24">
        <f>IF(G201/F201*100&gt;100,100,G201/F201*100)</f>
        <v>100</v>
      </c>
      <c r="I201" s="19"/>
      <c r="J201" s="19" t="s">
        <v>38</v>
      </c>
      <c r="K201" s="455" t="s">
        <v>223</v>
      </c>
      <c r="L201" s="19" t="s">
        <v>158</v>
      </c>
      <c r="M201" s="19"/>
      <c r="N201" s="19"/>
      <c r="O201" s="24"/>
      <c r="P201" s="468"/>
      <c r="Q201" s="35"/>
      <c r="R201" s="19"/>
      <c r="S201" s="586"/>
      <c r="T201" s="2"/>
      <c r="U201" s="3"/>
    </row>
    <row r="202" spans="1:21" s="1" customFormat="1" ht="56.25" customHeight="1" x14ac:dyDescent="0.35">
      <c r="A202" s="569"/>
      <c r="B202" s="573"/>
      <c r="C202" s="19"/>
      <c r="D202" s="41"/>
      <c r="E202" s="19"/>
      <c r="F202" s="477"/>
      <c r="G202" s="477"/>
      <c r="H202" s="24"/>
      <c r="I202" s="19"/>
      <c r="J202" s="19" t="s">
        <v>234</v>
      </c>
      <c r="K202" s="455" t="s">
        <v>229</v>
      </c>
      <c r="L202" s="19" t="s">
        <v>158</v>
      </c>
      <c r="M202" s="19">
        <v>374</v>
      </c>
      <c r="N202" s="19">
        <v>374</v>
      </c>
      <c r="O202" s="24">
        <f>IF(N202/M202*100&gt;110,110,N202/M202*100)</f>
        <v>100</v>
      </c>
      <c r="P202" s="468"/>
      <c r="Q202" s="35"/>
      <c r="R202" s="19"/>
      <c r="S202" s="586"/>
      <c r="T202" s="2"/>
      <c r="U202" s="3"/>
    </row>
    <row r="203" spans="1:21" s="1" customFormat="1" ht="46.5" customHeight="1" x14ac:dyDescent="0.35">
      <c r="A203" s="570"/>
      <c r="B203" s="574"/>
      <c r="C203" s="20"/>
      <c r="D203" s="466" t="s">
        <v>644</v>
      </c>
      <c r="E203" s="465"/>
      <c r="F203" s="20"/>
      <c r="G203" s="20"/>
      <c r="H203" s="18"/>
      <c r="I203" s="18">
        <f>H201</f>
        <v>100</v>
      </c>
      <c r="J203" s="128"/>
      <c r="K203" s="466" t="s">
        <v>644</v>
      </c>
      <c r="L203" s="20"/>
      <c r="M203" s="124"/>
      <c r="N203" s="124"/>
      <c r="O203" s="18"/>
      <c r="P203" s="18">
        <f>O202</f>
        <v>100</v>
      </c>
      <c r="Q203" s="18">
        <f>(I203+P203)/2</f>
        <v>100</v>
      </c>
      <c r="R203" s="465" t="s">
        <v>25</v>
      </c>
      <c r="S203" s="587"/>
      <c r="T203" s="2"/>
      <c r="U203" s="3"/>
    </row>
    <row r="204" spans="1:21" s="1" customFormat="1" ht="88.5" customHeight="1" x14ac:dyDescent="0.35">
      <c r="A204" s="567">
        <v>14</v>
      </c>
      <c r="B204" s="571" t="s">
        <v>71</v>
      </c>
      <c r="C204" s="454" t="s">
        <v>13</v>
      </c>
      <c r="D204" s="59" t="s">
        <v>14</v>
      </c>
      <c r="E204" s="454"/>
      <c r="F204" s="454"/>
      <c r="G204" s="454"/>
      <c r="H204" s="35"/>
      <c r="I204" s="35"/>
      <c r="J204" s="454" t="s">
        <v>13</v>
      </c>
      <c r="K204" s="59" t="s">
        <v>14</v>
      </c>
      <c r="L204" s="19"/>
      <c r="M204" s="19"/>
      <c r="N204" s="19"/>
      <c r="O204" s="35"/>
      <c r="P204" s="468"/>
      <c r="Q204" s="35"/>
      <c r="R204" s="19"/>
      <c r="S204" s="584" t="s">
        <v>15</v>
      </c>
      <c r="T204" s="2"/>
    </row>
    <row r="205" spans="1:21" s="1" customFormat="1" ht="33" x14ac:dyDescent="0.35">
      <c r="A205" s="568"/>
      <c r="B205" s="572"/>
      <c r="C205" s="19" t="s">
        <v>16</v>
      </c>
      <c r="D205" s="41" t="s">
        <v>17</v>
      </c>
      <c r="E205" s="19" t="s">
        <v>18</v>
      </c>
      <c r="F205" s="19">
        <v>95</v>
      </c>
      <c r="G205" s="19">
        <v>100</v>
      </c>
      <c r="H205" s="24">
        <f>IF(G205/F205*100&gt;100,100,G205/F205*100)</f>
        <v>100</v>
      </c>
      <c r="I205" s="19"/>
      <c r="J205" s="19" t="s">
        <v>16</v>
      </c>
      <c r="K205" s="41" t="s">
        <v>43</v>
      </c>
      <c r="L205" s="19" t="s">
        <v>20</v>
      </c>
      <c r="M205" s="19">
        <v>64</v>
      </c>
      <c r="N205" s="19">
        <v>64</v>
      </c>
      <c r="O205" s="24">
        <f>IF(N205/M205*100&gt;110,110,N205/M205*100)</f>
        <v>100</v>
      </c>
      <c r="P205" s="468"/>
      <c r="Q205" s="35"/>
      <c r="R205" s="19"/>
      <c r="S205" s="585"/>
      <c r="T205" s="2"/>
    </row>
    <row r="206" spans="1:21" s="1" customFormat="1" ht="33" x14ac:dyDescent="0.35">
      <c r="A206" s="568"/>
      <c r="B206" s="572"/>
      <c r="C206" s="19"/>
      <c r="D206" s="41"/>
      <c r="E206" s="19"/>
      <c r="F206" s="19"/>
      <c r="G206" s="19"/>
      <c r="H206" s="24"/>
      <c r="I206" s="19"/>
      <c r="J206" s="19" t="s">
        <v>21</v>
      </c>
      <c r="K206" s="41" t="s">
        <v>29</v>
      </c>
      <c r="L206" s="19" t="s">
        <v>20</v>
      </c>
      <c r="M206" s="19">
        <v>152</v>
      </c>
      <c r="N206" s="19">
        <v>152</v>
      </c>
      <c r="O206" s="24">
        <f>IF(N206/M206*100&gt;110,110,N206/M206*100)</f>
        <v>100</v>
      </c>
      <c r="P206" s="468"/>
      <c r="Q206" s="35"/>
      <c r="R206" s="19"/>
      <c r="S206" s="585"/>
      <c r="T206" s="2"/>
    </row>
    <row r="207" spans="1:21" s="1" customFormat="1" ht="39.75" customHeight="1" x14ac:dyDescent="0.35">
      <c r="A207" s="568"/>
      <c r="B207" s="572"/>
      <c r="C207" s="19"/>
      <c r="D207" s="41"/>
      <c r="E207" s="19"/>
      <c r="F207" s="19"/>
      <c r="G207" s="19"/>
      <c r="H207" s="24"/>
      <c r="I207" s="19"/>
      <c r="J207" s="19" t="s">
        <v>23</v>
      </c>
      <c r="K207" s="41" t="s">
        <v>72</v>
      </c>
      <c r="L207" s="19" t="s">
        <v>20</v>
      </c>
      <c r="M207" s="19">
        <v>27</v>
      </c>
      <c r="N207" s="19">
        <v>27</v>
      </c>
      <c r="O207" s="24">
        <f>IF(N207/M207*100&gt;110,110,N207/M207*100)</f>
        <v>100</v>
      </c>
      <c r="P207" s="468"/>
      <c r="Q207" s="35"/>
      <c r="R207" s="19"/>
      <c r="S207" s="585"/>
      <c r="T207" s="2"/>
    </row>
    <row r="208" spans="1:21" s="1" customFormat="1" ht="52.5" customHeight="1" x14ac:dyDescent="0.35">
      <c r="A208" s="568"/>
      <c r="B208" s="572"/>
      <c r="C208" s="128"/>
      <c r="D208" s="466" t="s">
        <v>644</v>
      </c>
      <c r="E208" s="20"/>
      <c r="F208" s="127"/>
      <c r="G208" s="126"/>
      <c r="H208" s="18"/>
      <c r="I208" s="18">
        <f>H205</f>
        <v>100</v>
      </c>
      <c r="J208" s="20"/>
      <c r="K208" s="466" t="s">
        <v>644</v>
      </c>
      <c r="L208" s="20"/>
      <c r="M208" s="124"/>
      <c r="N208" s="124"/>
      <c r="O208" s="18"/>
      <c r="P208" s="18">
        <f>(O206+O207)/2</f>
        <v>100</v>
      </c>
      <c r="Q208" s="18">
        <f>(I208+P208)/2</f>
        <v>100</v>
      </c>
      <c r="R208" s="465" t="s">
        <v>25</v>
      </c>
      <c r="S208" s="585"/>
      <c r="T208" s="2"/>
      <c r="U208" s="3"/>
    </row>
    <row r="209" spans="1:21" s="1" customFormat="1" ht="46.5" customHeight="1" x14ac:dyDescent="0.35">
      <c r="A209" s="568"/>
      <c r="B209" s="572"/>
      <c r="C209" s="454" t="s">
        <v>26</v>
      </c>
      <c r="D209" s="59" t="s">
        <v>27</v>
      </c>
      <c r="E209" s="19"/>
      <c r="F209" s="19"/>
      <c r="G209" s="19"/>
      <c r="H209" s="35"/>
      <c r="I209" s="35"/>
      <c r="J209" s="454" t="s">
        <v>26</v>
      </c>
      <c r="K209" s="59" t="s">
        <v>27</v>
      </c>
      <c r="L209" s="19"/>
      <c r="M209" s="476"/>
      <c r="N209" s="476"/>
      <c r="O209" s="35"/>
      <c r="P209" s="468"/>
      <c r="Q209" s="35"/>
      <c r="R209" s="19"/>
      <c r="S209" s="585"/>
      <c r="T209" s="2"/>
    </row>
    <row r="210" spans="1:21" s="1" customFormat="1" ht="33" x14ac:dyDescent="0.35">
      <c r="A210" s="568"/>
      <c r="B210" s="572"/>
      <c r="C210" s="19" t="s">
        <v>28</v>
      </c>
      <c r="D210" s="41" t="s">
        <v>17</v>
      </c>
      <c r="E210" s="19" t="s">
        <v>18</v>
      </c>
      <c r="F210" s="19">
        <v>95</v>
      </c>
      <c r="G210" s="19">
        <v>100</v>
      </c>
      <c r="H210" s="24">
        <f>IF(G210/F210*100&gt;100,100,G210/F210*100)</f>
        <v>100</v>
      </c>
      <c r="I210" s="19"/>
      <c r="J210" s="129" t="s">
        <v>28</v>
      </c>
      <c r="K210" s="41" t="s">
        <v>63</v>
      </c>
      <c r="L210" s="19" t="s">
        <v>20</v>
      </c>
      <c r="M210" s="19">
        <v>240</v>
      </c>
      <c r="N210" s="19">
        <v>240</v>
      </c>
      <c r="O210" s="24">
        <f>IF(N210/M210*100&gt;110,110,N210/M210*100)</f>
        <v>100</v>
      </c>
      <c r="P210" s="468"/>
      <c r="Q210" s="35"/>
      <c r="R210" s="19"/>
      <c r="S210" s="585"/>
      <c r="T210" s="2"/>
    </row>
    <row r="211" spans="1:21" s="1" customFormat="1" ht="33" x14ac:dyDescent="0.35">
      <c r="A211" s="568"/>
      <c r="B211" s="572"/>
      <c r="C211" s="19" t="s">
        <v>30</v>
      </c>
      <c r="D211" s="41" t="s">
        <v>31</v>
      </c>
      <c r="E211" s="19" t="s">
        <v>32</v>
      </c>
      <c r="F211" s="19">
        <v>35</v>
      </c>
      <c r="G211" s="19">
        <v>20</v>
      </c>
      <c r="H211" s="24">
        <f>IF(F211/G211*100&gt;100,100,F211/G211*100)</f>
        <v>100</v>
      </c>
      <c r="I211" s="19"/>
      <c r="J211" s="129" t="s">
        <v>30</v>
      </c>
      <c r="K211" s="41" t="s">
        <v>35</v>
      </c>
      <c r="L211" s="19" t="s">
        <v>20</v>
      </c>
      <c r="M211" s="19">
        <v>3</v>
      </c>
      <c r="N211" s="19">
        <v>3</v>
      </c>
      <c r="O211" s="24">
        <f>IF(N211/M211*100&gt;110,110,N211/M211*100)</f>
        <v>100</v>
      </c>
      <c r="P211" s="468"/>
      <c r="Q211" s="35"/>
      <c r="R211" s="19"/>
      <c r="S211" s="585"/>
      <c r="T211" s="2"/>
    </row>
    <row r="212" spans="1:21" s="1" customFormat="1" ht="46.5" customHeight="1" x14ac:dyDescent="0.35">
      <c r="A212" s="568"/>
      <c r="B212" s="572"/>
      <c r="C212" s="128"/>
      <c r="D212" s="466" t="s">
        <v>644</v>
      </c>
      <c r="E212" s="20"/>
      <c r="F212" s="127"/>
      <c r="G212" s="126"/>
      <c r="H212" s="18"/>
      <c r="I212" s="18">
        <f>(H210+H211)/2</f>
        <v>100</v>
      </c>
      <c r="J212" s="20"/>
      <c r="K212" s="466" t="s">
        <v>644</v>
      </c>
      <c r="L212" s="20"/>
      <c r="M212" s="124"/>
      <c r="N212" s="124"/>
      <c r="O212" s="18"/>
      <c r="P212" s="18">
        <f>(O210+O211)/2</f>
        <v>100</v>
      </c>
      <c r="Q212" s="18">
        <f>(I212+P212)/2</f>
        <v>100</v>
      </c>
      <c r="R212" s="465" t="s">
        <v>25</v>
      </c>
      <c r="S212" s="585"/>
      <c r="T212" s="2"/>
      <c r="U212" s="3"/>
    </row>
    <row r="213" spans="1:21" s="1" customFormat="1" ht="64.5" customHeight="1" x14ac:dyDescent="0.35">
      <c r="A213" s="568"/>
      <c r="B213" s="572"/>
      <c r="C213" s="454" t="s">
        <v>36</v>
      </c>
      <c r="D213" s="59" t="s">
        <v>37</v>
      </c>
      <c r="E213" s="19"/>
      <c r="F213" s="19"/>
      <c r="G213" s="19"/>
      <c r="H213" s="35"/>
      <c r="I213" s="35"/>
      <c r="J213" s="454" t="s">
        <v>36</v>
      </c>
      <c r="K213" s="59" t="str">
        <f>D213</f>
        <v>Предоставление консультационных и методических услуг</v>
      </c>
      <c r="L213" s="19"/>
      <c r="M213" s="122"/>
      <c r="N213" s="122"/>
      <c r="O213" s="35"/>
      <c r="P213" s="468"/>
      <c r="Q213" s="35"/>
      <c r="R213" s="19"/>
      <c r="S213" s="585"/>
      <c r="T213" s="2"/>
    </row>
    <row r="214" spans="1:21" s="1" customFormat="1" ht="64.5" customHeight="1" x14ac:dyDescent="0.35">
      <c r="A214" s="568"/>
      <c r="B214" s="572"/>
      <c r="C214" s="19" t="s">
        <v>38</v>
      </c>
      <c r="D214" s="41" t="s">
        <v>39</v>
      </c>
      <c r="E214" s="19" t="s">
        <v>46</v>
      </c>
      <c r="F214" s="19">
        <v>50</v>
      </c>
      <c r="G214" s="19">
        <v>50</v>
      </c>
      <c r="H214" s="24">
        <f>IF(G214/F214*100&gt;100,100,G214/F214*100)</f>
        <v>100</v>
      </c>
      <c r="I214" s="19"/>
      <c r="J214" s="129" t="s">
        <v>38</v>
      </c>
      <c r="K214" s="41" t="s">
        <v>40</v>
      </c>
      <c r="L214" s="19" t="s">
        <v>41</v>
      </c>
      <c r="M214" s="19">
        <v>100</v>
      </c>
      <c r="N214" s="19">
        <v>100</v>
      </c>
      <c r="O214" s="24">
        <f>IF(N214/M214*100&gt;110,110,N214/M214*100)</f>
        <v>100</v>
      </c>
      <c r="P214" s="468"/>
      <c r="Q214" s="35"/>
      <c r="R214" s="19"/>
      <c r="S214" s="585"/>
      <c r="T214" s="2"/>
    </row>
    <row r="215" spans="1:21" s="1" customFormat="1" ht="45.75" customHeight="1" x14ac:dyDescent="0.35">
      <c r="A215" s="568"/>
      <c r="B215" s="572"/>
      <c r="C215" s="465"/>
      <c r="D215" s="466" t="s">
        <v>644</v>
      </c>
      <c r="E215" s="465"/>
      <c r="F215" s="20"/>
      <c r="G215" s="20"/>
      <c r="H215" s="18"/>
      <c r="I215" s="18">
        <f>H214</f>
        <v>100</v>
      </c>
      <c r="J215" s="128"/>
      <c r="K215" s="466" t="s">
        <v>644</v>
      </c>
      <c r="L215" s="20"/>
      <c r="M215" s="124"/>
      <c r="N215" s="124"/>
      <c r="O215" s="18"/>
      <c r="P215" s="18">
        <f>O214</f>
        <v>100</v>
      </c>
      <c r="Q215" s="18">
        <f>(I215+P215)/2</f>
        <v>100</v>
      </c>
      <c r="R215" s="465" t="s">
        <v>25</v>
      </c>
      <c r="S215" s="585"/>
      <c r="T215" s="2"/>
    </row>
    <row r="216" spans="1:21" s="1" customFormat="1" ht="63" customHeight="1" x14ac:dyDescent="0.35">
      <c r="A216" s="569"/>
      <c r="B216" s="573"/>
      <c r="C216" s="454" t="s">
        <v>123</v>
      </c>
      <c r="D216" s="59" t="s">
        <v>130</v>
      </c>
      <c r="E216" s="454"/>
      <c r="F216" s="454"/>
      <c r="G216" s="454"/>
      <c r="H216" s="35"/>
      <c r="I216" s="35"/>
      <c r="J216" s="454" t="s">
        <v>123</v>
      </c>
      <c r="K216" s="59" t="s">
        <v>130</v>
      </c>
      <c r="L216" s="19"/>
      <c r="M216" s="19"/>
      <c r="N216" s="19"/>
      <c r="O216" s="35"/>
      <c r="P216" s="35"/>
      <c r="Q216" s="35"/>
      <c r="R216" s="19"/>
      <c r="S216" s="586"/>
      <c r="T216" s="2"/>
    </row>
    <row r="217" spans="1:21" s="1" customFormat="1" ht="71.25" customHeight="1" x14ac:dyDescent="0.35">
      <c r="A217" s="569"/>
      <c r="B217" s="573"/>
      <c r="C217" s="19" t="s">
        <v>124</v>
      </c>
      <c r="D217" s="41" t="s">
        <v>208</v>
      </c>
      <c r="E217" s="19" t="s">
        <v>18</v>
      </c>
      <c r="F217" s="19">
        <v>100</v>
      </c>
      <c r="G217" s="19">
        <v>100</v>
      </c>
      <c r="H217" s="24">
        <f>IF(G217/F217*100&gt;100,100,G217/F217*100)</f>
        <v>100</v>
      </c>
      <c r="I217" s="19"/>
      <c r="J217" s="19" t="s">
        <v>124</v>
      </c>
      <c r="K217" s="455" t="s">
        <v>223</v>
      </c>
      <c r="L217" s="19" t="s">
        <v>158</v>
      </c>
      <c r="M217" s="19"/>
      <c r="N217" s="19"/>
      <c r="O217" s="24"/>
      <c r="P217" s="468"/>
      <c r="Q217" s="35"/>
      <c r="R217" s="19"/>
      <c r="S217" s="586"/>
      <c r="T217" s="2"/>
    </row>
    <row r="218" spans="1:21" s="1" customFormat="1" ht="51" customHeight="1" x14ac:dyDescent="0.35">
      <c r="A218" s="569"/>
      <c r="B218" s="573"/>
      <c r="C218" s="19"/>
      <c r="D218" s="41"/>
      <c r="E218" s="19"/>
      <c r="F218" s="477"/>
      <c r="G218" s="477"/>
      <c r="H218" s="24"/>
      <c r="I218" s="19"/>
      <c r="J218" s="19" t="s">
        <v>284</v>
      </c>
      <c r="K218" s="455" t="s">
        <v>283</v>
      </c>
      <c r="L218" s="19" t="s">
        <v>158</v>
      </c>
      <c r="M218" s="19">
        <v>374</v>
      </c>
      <c r="N218" s="19">
        <v>374</v>
      </c>
      <c r="O218" s="24">
        <f>IF(N218/M218*100&gt;110,110,N218/M218*100)</f>
        <v>100</v>
      </c>
      <c r="P218" s="468"/>
      <c r="Q218" s="35"/>
      <c r="R218" s="19"/>
      <c r="S218" s="586"/>
      <c r="T218" s="2"/>
    </row>
    <row r="219" spans="1:21" s="1" customFormat="1" ht="48" customHeight="1" x14ac:dyDescent="0.35">
      <c r="A219" s="570"/>
      <c r="B219" s="574"/>
      <c r="C219" s="20"/>
      <c r="D219" s="466" t="s">
        <v>644</v>
      </c>
      <c r="E219" s="465"/>
      <c r="F219" s="20"/>
      <c r="G219" s="20"/>
      <c r="H219" s="18"/>
      <c r="I219" s="18">
        <f>H217</f>
        <v>100</v>
      </c>
      <c r="J219" s="128"/>
      <c r="K219" s="466" t="s">
        <v>644</v>
      </c>
      <c r="L219" s="20"/>
      <c r="M219" s="124"/>
      <c r="N219" s="124"/>
      <c r="O219" s="18"/>
      <c r="P219" s="18">
        <f>O218</f>
        <v>100</v>
      </c>
      <c r="Q219" s="18">
        <f>(I219+P219)/2</f>
        <v>100</v>
      </c>
      <c r="R219" s="465" t="s">
        <v>25</v>
      </c>
      <c r="S219" s="587"/>
      <c r="T219" s="2"/>
    </row>
    <row r="220" spans="1:21" s="1" customFormat="1" ht="87.75" customHeight="1" x14ac:dyDescent="0.35">
      <c r="A220" s="567">
        <v>15</v>
      </c>
      <c r="B220" s="571" t="s">
        <v>73</v>
      </c>
      <c r="C220" s="454" t="s">
        <v>13</v>
      </c>
      <c r="D220" s="59" t="s">
        <v>14</v>
      </c>
      <c r="E220" s="454"/>
      <c r="F220" s="454"/>
      <c r="G220" s="454"/>
      <c r="H220" s="35"/>
      <c r="I220" s="35"/>
      <c r="J220" s="454" t="s">
        <v>13</v>
      </c>
      <c r="K220" s="59" t="s">
        <v>14</v>
      </c>
      <c r="L220" s="19"/>
      <c r="M220" s="19"/>
      <c r="N220" s="19"/>
      <c r="O220" s="35"/>
      <c r="P220" s="468"/>
      <c r="Q220" s="35"/>
      <c r="R220" s="19"/>
      <c r="S220" s="584" t="s">
        <v>15</v>
      </c>
      <c r="T220" s="2"/>
    </row>
    <row r="221" spans="1:21" s="1" customFormat="1" ht="78" customHeight="1" x14ac:dyDescent="0.35">
      <c r="A221" s="568"/>
      <c r="B221" s="572"/>
      <c r="C221" s="19" t="s">
        <v>16</v>
      </c>
      <c r="D221" s="41" t="s">
        <v>17</v>
      </c>
      <c r="E221" s="19" t="s">
        <v>18</v>
      </c>
      <c r="F221" s="19">
        <v>95</v>
      </c>
      <c r="G221" s="19">
        <v>100</v>
      </c>
      <c r="H221" s="24">
        <f>IF(G221/F221*100&gt;100,100,G221/F221*100)</f>
        <v>100</v>
      </c>
      <c r="I221" s="19"/>
      <c r="J221" s="19" t="s">
        <v>16</v>
      </c>
      <c r="K221" s="41" t="s">
        <v>43</v>
      </c>
      <c r="L221" s="19" t="s">
        <v>20</v>
      </c>
      <c r="M221" s="19">
        <v>60</v>
      </c>
      <c r="N221" s="19">
        <v>60</v>
      </c>
      <c r="O221" s="24">
        <f>IF(N221/M221*100&gt;110,110,N221/M221*100)</f>
        <v>100</v>
      </c>
      <c r="P221" s="468"/>
      <c r="Q221" s="35"/>
      <c r="R221" s="19"/>
      <c r="S221" s="585"/>
      <c r="T221" s="2"/>
    </row>
    <row r="222" spans="1:21" s="1" customFormat="1" ht="81" customHeight="1" x14ac:dyDescent="0.35">
      <c r="A222" s="568"/>
      <c r="B222" s="572"/>
      <c r="C222" s="19"/>
      <c r="D222" s="41"/>
      <c r="E222" s="19"/>
      <c r="F222" s="19"/>
      <c r="G222" s="19"/>
      <c r="H222" s="24"/>
      <c r="I222" s="19"/>
      <c r="J222" s="19" t="s">
        <v>21</v>
      </c>
      <c r="K222" s="41" t="s">
        <v>29</v>
      </c>
      <c r="L222" s="19" t="s">
        <v>20</v>
      </c>
      <c r="M222" s="19">
        <v>154</v>
      </c>
      <c r="N222" s="19">
        <v>154</v>
      </c>
      <c r="O222" s="24">
        <f>IF(N222/M222*100&gt;110,110,N222/M222*100)</f>
        <v>100</v>
      </c>
      <c r="P222" s="468"/>
      <c r="Q222" s="35"/>
      <c r="R222" s="19"/>
      <c r="S222" s="585"/>
      <c r="T222" s="2"/>
    </row>
    <row r="223" spans="1:21" s="1" customFormat="1" ht="59.25" customHeight="1" x14ac:dyDescent="0.35">
      <c r="A223" s="568"/>
      <c r="B223" s="572"/>
      <c r="C223" s="19"/>
      <c r="D223" s="41"/>
      <c r="E223" s="19"/>
      <c r="F223" s="19"/>
      <c r="G223" s="19"/>
      <c r="H223" s="24"/>
      <c r="I223" s="19"/>
      <c r="J223" s="19" t="s">
        <v>23</v>
      </c>
      <c r="K223" s="41" t="s">
        <v>56</v>
      </c>
      <c r="L223" s="19" t="s">
        <v>20</v>
      </c>
      <c r="M223" s="19">
        <v>18</v>
      </c>
      <c r="N223" s="19">
        <v>18</v>
      </c>
      <c r="O223" s="24">
        <f>IF(N223/M223*100&gt;110,110,N223/M223*100)</f>
        <v>100</v>
      </c>
      <c r="P223" s="468"/>
      <c r="Q223" s="35"/>
      <c r="R223" s="19"/>
      <c r="S223" s="585"/>
      <c r="T223" s="2"/>
    </row>
    <row r="224" spans="1:21" s="1" customFormat="1" ht="53.25" customHeight="1" x14ac:dyDescent="0.35">
      <c r="A224" s="568"/>
      <c r="B224" s="572"/>
      <c r="C224" s="128"/>
      <c r="D224" s="466" t="s">
        <v>644</v>
      </c>
      <c r="E224" s="20"/>
      <c r="F224" s="127"/>
      <c r="G224" s="126"/>
      <c r="H224" s="18"/>
      <c r="I224" s="18">
        <f>H221</f>
        <v>100</v>
      </c>
      <c r="J224" s="20"/>
      <c r="K224" s="466" t="s">
        <v>644</v>
      </c>
      <c r="L224" s="20"/>
      <c r="M224" s="124"/>
      <c r="N224" s="124"/>
      <c r="O224" s="18"/>
      <c r="P224" s="18">
        <f>(O223+O221+O222)/3</f>
        <v>100</v>
      </c>
      <c r="Q224" s="18">
        <f>(I224+P224)/2</f>
        <v>100</v>
      </c>
      <c r="R224" s="465" t="s">
        <v>25</v>
      </c>
      <c r="S224" s="585"/>
      <c r="T224" s="2"/>
      <c r="U224" s="3"/>
    </row>
    <row r="225" spans="1:21" s="1" customFormat="1" ht="36.75" customHeight="1" x14ac:dyDescent="0.35">
      <c r="A225" s="568"/>
      <c r="B225" s="572"/>
      <c r="C225" s="454" t="s">
        <v>26</v>
      </c>
      <c r="D225" s="59" t="s">
        <v>27</v>
      </c>
      <c r="E225" s="19"/>
      <c r="F225" s="19"/>
      <c r="G225" s="19"/>
      <c r="H225" s="35"/>
      <c r="I225" s="35"/>
      <c r="J225" s="454" t="s">
        <v>26</v>
      </c>
      <c r="K225" s="59" t="s">
        <v>27</v>
      </c>
      <c r="L225" s="19"/>
      <c r="M225" s="476"/>
      <c r="N225" s="476"/>
      <c r="O225" s="35"/>
      <c r="P225" s="468"/>
      <c r="Q225" s="35"/>
      <c r="R225" s="19"/>
      <c r="S225" s="585"/>
      <c r="T225" s="2"/>
    </row>
    <row r="226" spans="1:21" s="1" customFormat="1" ht="33" x14ac:dyDescent="0.35">
      <c r="A226" s="568"/>
      <c r="B226" s="572"/>
      <c r="C226" s="19" t="s">
        <v>28</v>
      </c>
      <c r="D226" s="41" t="s">
        <v>17</v>
      </c>
      <c r="E226" s="19" t="s">
        <v>18</v>
      </c>
      <c r="F226" s="19">
        <v>95</v>
      </c>
      <c r="G226" s="19">
        <v>98</v>
      </c>
      <c r="H226" s="24">
        <f>IF(G226/F226*100&gt;100,100,G226/F226*100)</f>
        <v>100</v>
      </c>
      <c r="I226" s="19"/>
      <c r="J226" s="129" t="s">
        <v>28</v>
      </c>
      <c r="K226" s="41" t="s">
        <v>53</v>
      </c>
      <c r="L226" s="19" t="s">
        <v>20</v>
      </c>
      <c r="M226" s="19">
        <v>230</v>
      </c>
      <c r="N226" s="19">
        <v>230</v>
      </c>
      <c r="O226" s="24">
        <f>IF(N226/M226*100&gt;110,110,N226/M226*100)</f>
        <v>100</v>
      </c>
      <c r="P226" s="468"/>
      <c r="Q226" s="35"/>
      <c r="R226" s="19"/>
      <c r="S226" s="585"/>
      <c r="T226" s="2"/>
    </row>
    <row r="227" spans="1:21" s="1" customFormat="1" ht="33" x14ac:dyDescent="0.35">
      <c r="A227" s="568"/>
      <c r="B227" s="572"/>
      <c r="C227" s="19" t="s">
        <v>30</v>
      </c>
      <c r="D227" s="41" t="s">
        <v>31</v>
      </c>
      <c r="E227" s="19" t="s">
        <v>32</v>
      </c>
      <c r="F227" s="19">
        <v>35</v>
      </c>
      <c r="G227" s="19">
        <v>21.3</v>
      </c>
      <c r="H227" s="24">
        <f>IF(F227/G227*100&gt;100,100,F227/G227*100)</f>
        <v>100</v>
      </c>
      <c r="I227" s="19"/>
      <c r="J227" s="129" t="s">
        <v>30</v>
      </c>
      <c r="K227" s="41" t="s">
        <v>35</v>
      </c>
      <c r="L227" s="19" t="s">
        <v>20</v>
      </c>
      <c r="M227" s="19">
        <v>2</v>
      </c>
      <c r="N227" s="19">
        <v>2</v>
      </c>
      <c r="O227" s="24">
        <f>IF(N227/M227*100&gt;110,110,N227/M227*100)</f>
        <v>100</v>
      </c>
      <c r="P227" s="468"/>
      <c r="Q227" s="35"/>
      <c r="R227" s="19"/>
      <c r="S227" s="585"/>
      <c r="T227" s="2"/>
    </row>
    <row r="228" spans="1:21" s="1" customFormat="1" ht="48" customHeight="1" x14ac:dyDescent="0.35">
      <c r="A228" s="568"/>
      <c r="B228" s="572"/>
      <c r="C228" s="128"/>
      <c r="D228" s="466" t="s">
        <v>644</v>
      </c>
      <c r="E228" s="20"/>
      <c r="F228" s="127"/>
      <c r="G228" s="126"/>
      <c r="H228" s="18"/>
      <c r="I228" s="18">
        <f>(H227+H226)/2</f>
        <v>100</v>
      </c>
      <c r="J228" s="20"/>
      <c r="K228" s="466" t="s">
        <v>644</v>
      </c>
      <c r="L228" s="20"/>
      <c r="M228" s="124"/>
      <c r="N228" s="124"/>
      <c r="O228" s="18"/>
      <c r="P228" s="18">
        <f>(O227+O226)/2</f>
        <v>100</v>
      </c>
      <c r="Q228" s="18">
        <f>(I228+P228)/2</f>
        <v>100</v>
      </c>
      <c r="R228" s="465" t="s">
        <v>25</v>
      </c>
      <c r="S228" s="585"/>
      <c r="T228" s="2"/>
      <c r="U228" s="3"/>
    </row>
    <row r="229" spans="1:21" s="1" customFormat="1" ht="56.25" customHeight="1" x14ac:dyDescent="0.35">
      <c r="A229" s="569"/>
      <c r="B229" s="573"/>
      <c r="C229" s="454" t="s">
        <v>36</v>
      </c>
      <c r="D229" s="59" t="s">
        <v>130</v>
      </c>
      <c r="E229" s="454"/>
      <c r="F229" s="454"/>
      <c r="G229" s="454"/>
      <c r="H229" s="35"/>
      <c r="I229" s="35"/>
      <c r="J229" s="454" t="s">
        <v>36</v>
      </c>
      <c r="K229" s="59" t="s">
        <v>130</v>
      </c>
      <c r="L229" s="19"/>
      <c r="M229" s="19"/>
      <c r="N229" s="19"/>
      <c r="O229" s="35"/>
      <c r="P229" s="35"/>
      <c r="Q229" s="35"/>
      <c r="R229" s="19"/>
      <c r="S229" s="586"/>
      <c r="T229" s="2"/>
      <c r="U229" s="3"/>
    </row>
    <row r="230" spans="1:21" s="1" customFormat="1" ht="56.25" customHeight="1" x14ac:dyDescent="0.35">
      <c r="A230" s="569"/>
      <c r="B230" s="573"/>
      <c r="C230" s="19" t="s">
        <v>38</v>
      </c>
      <c r="D230" s="41" t="s">
        <v>208</v>
      </c>
      <c r="E230" s="19" t="s">
        <v>18</v>
      </c>
      <c r="F230" s="19">
        <v>100</v>
      </c>
      <c r="G230" s="19">
        <v>100</v>
      </c>
      <c r="H230" s="24">
        <f>IF(G230/F230*100&gt;100,100,G230/F230*100)</f>
        <v>100</v>
      </c>
      <c r="I230" s="19"/>
      <c r="J230" s="19" t="s">
        <v>38</v>
      </c>
      <c r="K230" s="455" t="s">
        <v>223</v>
      </c>
      <c r="L230" s="19" t="s">
        <v>158</v>
      </c>
      <c r="M230" s="19"/>
      <c r="N230" s="19"/>
      <c r="O230" s="24"/>
      <c r="P230" s="468"/>
      <c r="Q230" s="35"/>
      <c r="R230" s="19"/>
      <c r="S230" s="586"/>
      <c r="T230" s="2"/>
      <c r="U230" s="3"/>
    </row>
    <row r="231" spans="1:21" s="1" customFormat="1" ht="56.25" customHeight="1" x14ac:dyDescent="0.35">
      <c r="A231" s="569"/>
      <c r="B231" s="573"/>
      <c r="C231" s="19"/>
      <c r="D231" s="41"/>
      <c r="E231" s="19"/>
      <c r="F231" s="477"/>
      <c r="G231" s="477"/>
      <c r="H231" s="24"/>
      <c r="I231" s="19"/>
      <c r="J231" s="19" t="s">
        <v>234</v>
      </c>
      <c r="K231" s="455" t="s">
        <v>285</v>
      </c>
      <c r="L231" s="19" t="s">
        <v>158</v>
      </c>
      <c r="M231" s="19">
        <v>374</v>
      </c>
      <c r="N231" s="19">
        <v>374</v>
      </c>
      <c r="O231" s="24">
        <f>IF(N231/M231*100&gt;110,110,N231/M231*100)</f>
        <v>100</v>
      </c>
      <c r="P231" s="468"/>
      <c r="Q231" s="35"/>
      <c r="R231" s="19"/>
      <c r="S231" s="586"/>
      <c r="T231" s="2"/>
      <c r="U231" s="3"/>
    </row>
    <row r="232" spans="1:21" s="1" customFormat="1" ht="54.75" customHeight="1" x14ac:dyDescent="0.35">
      <c r="A232" s="570"/>
      <c r="B232" s="574"/>
      <c r="C232" s="20"/>
      <c r="D232" s="466" t="s">
        <v>644</v>
      </c>
      <c r="E232" s="465"/>
      <c r="F232" s="20"/>
      <c r="G232" s="20"/>
      <c r="H232" s="18"/>
      <c r="I232" s="18">
        <f>H230</f>
        <v>100</v>
      </c>
      <c r="J232" s="128"/>
      <c r="K232" s="466" t="s">
        <v>644</v>
      </c>
      <c r="L232" s="20"/>
      <c r="M232" s="124"/>
      <c r="N232" s="124"/>
      <c r="O232" s="18"/>
      <c r="P232" s="18">
        <f>O231</f>
        <v>100</v>
      </c>
      <c r="Q232" s="18">
        <f>(I232+P232)/2</f>
        <v>100</v>
      </c>
      <c r="R232" s="465" t="s">
        <v>25</v>
      </c>
      <c r="S232" s="587"/>
      <c r="T232" s="2"/>
      <c r="U232" s="3"/>
    </row>
    <row r="233" spans="1:21" s="1" customFormat="1" ht="67.5" customHeight="1" x14ac:dyDescent="0.35">
      <c r="A233" s="567">
        <v>16</v>
      </c>
      <c r="B233" s="571" t="s">
        <v>74</v>
      </c>
      <c r="C233" s="454" t="s">
        <v>13</v>
      </c>
      <c r="D233" s="59" t="s">
        <v>14</v>
      </c>
      <c r="E233" s="454"/>
      <c r="F233" s="454"/>
      <c r="G233" s="454"/>
      <c r="H233" s="35"/>
      <c r="I233" s="35"/>
      <c r="J233" s="454" t="s">
        <v>13</v>
      </c>
      <c r="K233" s="59" t="s">
        <v>14</v>
      </c>
      <c r="L233" s="19"/>
      <c r="M233" s="19"/>
      <c r="N233" s="19"/>
      <c r="O233" s="35"/>
      <c r="P233" s="468"/>
      <c r="Q233" s="35"/>
      <c r="R233" s="19"/>
      <c r="S233" s="584" t="s">
        <v>15</v>
      </c>
      <c r="T233" s="2"/>
    </row>
    <row r="234" spans="1:21" s="1" customFormat="1" ht="78.75" customHeight="1" x14ac:dyDescent="0.35">
      <c r="A234" s="568"/>
      <c r="B234" s="572"/>
      <c r="C234" s="19" t="s">
        <v>16</v>
      </c>
      <c r="D234" s="41" t="s">
        <v>17</v>
      </c>
      <c r="E234" s="19" t="s">
        <v>18</v>
      </c>
      <c r="F234" s="19">
        <v>95</v>
      </c>
      <c r="G234" s="19">
        <v>97</v>
      </c>
      <c r="H234" s="24">
        <f>IF(G234/F234*100&gt;100,100,G234/F234*100)</f>
        <v>100</v>
      </c>
      <c r="I234" s="19"/>
      <c r="J234" s="19" t="s">
        <v>16</v>
      </c>
      <c r="K234" s="41" t="s">
        <v>43</v>
      </c>
      <c r="L234" s="19" t="s">
        <v>20</v>
      </c>
      <c r="M234" s="19">
        <v>59</v>
      </c>
      <c r="N234" s="19">
        <v>59</v>
      </c>
      <c r="O234" s="24">
        <f>IF(N234/M234*100&gt;110,110,N234/M234*100)</f>
        <v>100</v>
      </c>
      <c r="P234" s="468"/>
      <c r="Q234" s="35"/>
      <c r="R234" s="19"/>
      <c r="S234" s="585"/>
      <c r="T234" s="2"/>
    </row>
    <row r="235" spans="1:21" s="1" customFormat="1" ht="78.75" customHeight="1" x14ac:dyDescent="0.35">
      <c r="A235" s="568"/>
      <c r="B235" s="572"/>
      <c r="C235" s="19"/>
      <c r="D235" s="41"/>
      <c r="E235" s="19"/>
      <c r="F235" s="19"/>
      <c r="G235" s="19"/>
      <c r="H235" s="24"/>
      <c r="I235" s="19"/>
      <c r="J235" s="19" t="s">
        <v>21</v>
      </c>
      <c r="K235" s="41" t="s">
        <v>29</v>
      </c>
      <c r="L235" s="19" t="s">
        <v>20</v>
      </c>
      <c r="M235" s="19">
        <v>159</v>
      </c>
      <c r="N235" s="19">
        <v>159</v>
      </c>
      <c r="O235" s="24">
        <f>IF(N235/M235*100&gt;110,110,N235/M235*100)</f>
        <v>100</v>
      </c>
      <c r="P235" s="468"/>
      <c r="Q235" s="35"/>
      <c r="R235" s="19"/>
      <c r="S235" s="585"/>
      <c r="T235" s="2"/>
    </row>
    <row r="236" spans="1:21" s="1" customFormat="1" ht="66.75" customHeight="1" x14ac:dyDescent="0.35">
      <c r="A236" s="568"/>
      <c r="B236" s="572"/>
      <c r="C236" s="19"/>
      <c r="D236" s="41"/>
      <c r="E236" s="19"/>
      <c r="F236" s="19"/>
      <c r="G236" s="19"/>
      <c r="H236" s="24"/>
      <c r="I236" s="19"/>
      <c r="J236" s="19" t="s">
        <v>23</v>
      </c>
      <c r="K236" s="41" t="s">
        <v>44</v>
      </c>
      <c r="L236" s="19" t="s">
        <v>20</v>
      </c>
      <c r="M236" s="19">
        <v>52</v>
      </c>
      <c r="N236" s="19">
        <v>52</v>
      </c>
      <c r="O236" s="24">
        <f>IF(N236/M236*100&gt;110,110,N236/M236*100)</f>
        <v>100</v>
      </c>
      <c r="P236" s="468"/>
      <c r="Q236" s="35"/>
      <c r="R236" s="19"/>
      <c r="S236" s="585"/>
      <c r="T236" s="2"/>
    </row>
    <row r="237" spans="1:21" s="1" customFormat="1" ht="46.5" customHeight="1" x14ac:dyDescent="0.35">
      <c r="A237" s="568"/>
      <c r="B237" s="572"/>
      <c r="C237" s="128"/>
      <c r="D237" s="466" t="s">
        <v>644</v>
      </c>
      <c r="E237" s="20"/>
      <c r="F237" s="127"/>
      <c r="G237" s="126"/>
      <c r="H237" s="18"/>
      <c r="I237" s="18">
        <f>H234</f>
        <v>100</v>
      </c>
      <c r="J237" s="20"/>
      <c r="K237" s="466" t="s">
        <v>644</v>
      </c>
      <c r="L237" s="20"/>
      <c r="M237" s="124"/>
      <c r="N237" s="124"/>
      <c r="O237" s="18"/>
      <c r="P237" s="18">
        <f>(O236+O234+O235)/3</f>
        <v>100</v>
      </c>
      <c r="Q237" s="18">
        <f>(I237+P237)/2</f>
        <v>100</v>
      </c>
      <c r="R237" s="465" t="s">
        <v>25</v>
      </c>
      <c r="S237" s="585"/>
      <c r="T237" s="2"/>
      <c r="U237" s="3"/>
    </row>
    <row r="238" spans="1:21" s="1" customFormat="1" ht="51" customHeight="1" x14ac:dyDescent="0.35">
      <c r="A238" s="568"/>
      <c r="B238" s="572"/>
      <c r="C238" s="454" t="s">
        <v>26</v>
      </c>
      <c r="D238" s="59" t="s">
        <v>27</v>
      </c>
      <c r="E238" s="19"/>
      <c r="F238" s="19"/>
      <c r="G238" s="19"/>
      <c r="H238" s="35"/>
      <c r="I238" s="35"/>
      <c r="J238" s="454" t="s">
        <v>26</v>
      </c>
      <c r="K238" s="59" t="s">
        <v>27</v>
      </c>
      <c r="L238" s="19"/>
      <c r="M238" s="476"/>
      <c r="N238" s="476"/>
      <c r="O238" s="35"/>
      <c r="P238" s="468"/>
      <c r="Q238" s="35"/>
      <c r="R238" s="19"/>
      <c r="S238" s="585"/>
      <c r="T238" s="2"/>
    </row>
    <row r="239" spans="1:21" s="1" customFormat="1" ht="33" x14ac:dyDescent="0.35">
      <c r="A239" s="568"/>
      <c r="B239" s="572"/>
      <c r="C239" s="19" t="s">
        <v>28</v>
      </c>
      <c r="D239" s="41" t="s">
        <v>17</v>
      </c>
      <c r="E239" s="19" t="s">
        <v>18</v>
      </c>
      <c r="F239" s="19">
        <v>95</v>
      </c>
      <c r="G239" s="19">
        <v>97</v>
      </c>
      <c r="H239" s="24">
        <f>IF(G239/F239*100&gt;100,100,G239/F239*100)</f>
        <v>100</v>
      </c>
      <c r="I239" s="19"/>
      <c r="J239" s="578" t="s">
        <v>28</v>
      </c>
      <c r="K239" s="575" t="s">
        <v>53</v>
      </c>
      <c r="L239" s="575">
        <v>261</v>
      </c>
      <c r="M239" s="575">
        <v>261</v>
      </c>
      <c r="N239" s="575">
        <v>261</v>
      </c>
      <c r="O239" s="577">
        <f>IF(N239/M239*100&gt;110,110,N239/M239*100)</f>
        <v>100</v>
      </c>
      <c r="P239" s="588"/>
      <c r="Q239" s="590"/>
      <c r="R239" s="575"/>
      <c r="S239" s="585"/>
      <c r="T239" s="2"/>
    </row>
    <row r="240" spans="1:21" s="1" customFormat="1" ht="33" x14ac:dyDescent="0.35">
      <c r="A240" s="568"/>
      <c r="B240" s="572"/>
      <c r="C240" s="19" t="s">
        <v>30</v>
      </c>
      <c r="D240" s="41" t="s">
        <v>31</v>
      </c>
      <c r="E240" s="19" t="s">
        <v>32</v>
      </c>
      <c r="F240" s="19">
        <v>35</v>
      </c>
      <c r="G240" s="19">
        <v>13.3</v>
      </c>
      <c r="H240" s="24">
        <f>IF(F240/G240*100&gt;100,100,F240/G240*100)</f>
        <v>100</v>
      </c>
      <c r="I240" s="19"/>
      <c r="J240" s="579"/>
      <c r="K240" s="583"/>
      <c r="L240" s="583"/>
      <c r="M240" s="583"/>
      <c r="N240" s="583"/>
      <c r="O240" s="594"/>
      <c r="P240" s="589"/>
      <c r="Q240" s="591"/>
      <c r="R240" s="583"/>
      <c r="S240" s="585"/>
      <c r="T240" s="2"/>
    </row>
    <row r="241" spans="1:21" s="1" customFormat="1" x14ac:dyDescent="0.35">
      <c r="A241" s="568"/>
      <c r="B241" s="572"/>
      <c r="C241" s="19"/>
      <c r="D241" s="41"/>
      <c r="E241" s="19"/>
      <c r="F241" s="19"/>
      <c r="G241" s="19"/>
      <c r="H241" s="24"/>
      <c r="I241" s="19"/>
      <c r="J241" s="129" t="s">
        <v>30</v>
      </c>
      <c r="K241" s="41" t="s">
        <v>35</v>
      </c>
      <c r="L241" s="19" t="s">
        <v>20</v>
      </c>
      <c r="M241" s="19">
        <v>9</v>
      </c>
      <c r="N241" s="19">
        <v>9</v>
      </c>
      <c r="O241" s="24">
        <f>IF(N241/M241*100&gt;110,110,N241/M241*100)</f>
        <v>100</v>
      </c>
      <c r="P241" s="468"/>
      <c r="Q241" s="35"/>
      <c r="R241" s="19"/>
      <c r="S241" s="585"/>
      <c r="T241" s="2"/>
    </row>
    <row r="242" spans="1:21" s="1" customFormat="1" ht="45" customHeight="1" x14ac:dyDescent="0.35">
      <c r="A242" s="568"/>
      <c r="B242" s="572"/>
      <c r="C242" s="128"/>
      <c r="D242" s="466" t="s">
        <v>644</v>
      </c>
      <c r="E242" s="20"/>
      <c r="F242" s="127"/>
      <c r="G242" s="126"/>
      <c r="H242" s="18"/>
      <c r="I242" s="18">
        <f>(H239+H240)/2</f>
        <v>100</v>
      </c>
      <c r="J242" s="20"/>
      <c r="K242" s="466" t="s">
        <v>644</v>
      </c>
      <c r="L242" s="20"/>
      <c r="M242" s="124"/>
      <c r="N242" s="124"/>
      <c r="O242" s="18"/>
      <c r="P242" s="18">
        <f>(O241+O239+O240)/2</f>
        <v>100</v>
      </c>
      <c r="Q242" s="18">
        <f>(I242+P242)/2</f>
        <v>100</v>
      </c>
      <c r="R242" s="465" t="s">
        <v>25</v>
      </c>
      <c r="S242" s="585"/>
      <c r="T242" s="2"/>
      <c r="U242" s="3"/>
    </row>
    <row r="243" spans="1:21" s="1" customFormat="1" ht="54.75" customHeight="1" x14ac:dyDescent="0.35">
      <c r="A243" s="568"/>
      <c r="B243" s="573"/>
      <c r="C243" s="454" t="s">
        <v>36</v>
      </c>
      <c r="D243" s="59" t="s">
        <v>130</v>
      </c>
      <c r="E243" s="454"/>
      <c r="F243" s="454"/>
      <c r="G243" s="454"/>
      <c r="H243" s="35"/>
      <c r="I243" s="35"/>
      <c r="J243" s="454" t="s">
        <v>36</v>
      </c>
      <c r="K243" s="59" t="s">
        <v>130</v>
      </c>
      <c r="L243" s="19"/>
      <c r="M243" s="19"/>
      <c r="N243" s="19"/>
      <c r="O243" s="35"/>
      <c r="P243" s="35"/>
      <c r="Q243" s="35"/>
      <c r="R243" s="19"/>
      <c r="S243" s="586"/>
      <c r="T243" s="2"/>
      <c r="U243" s="3"/>
    </row>
    <row r="244" spans="1:21" s="1" customFormat="1" ht="54.75" customHeight="1" x14ac:dyDescent="0.35">
      <c r="A244" s="568"/>
      <c r="B244" s="573"/>
      <c r="C244" s="19" t="s">
        <v>38</v>
      </c>
      <c r="D244" s="41" t="s">
        <v>208</v>
      </c>
      <c r="E244" s="19" t="s">
        <v>18</v>
      </c>
      <c r="F244" s="19">
        <v>100</v>
      </c>
      <c r="G244" s="19">
        <v>100</v>
      </c>
      <c r="H244" s="24">
        <f>IF(G244/F244*100&gt;100,100,G244/F244*100)</f>
        <v>100</v>
      </c>
      <c r="I244" s="19"/>
      <c r="J244" s="19" t="s">
        <v>38</v>
      </c>
      <c r="K244" s="455" t="s">
        <v>223</v>
      </c>
      <c r="L244" s="19" t="s">
        <v>158</v>
      </c>
      <c r="M244" s="19"/>
      <c r="N244" s="19"/>
      <c r="O244" s="24"/>
      <c r="P244" s="468"/>
      <c r="Q244" s="35"/>
      <c r="R244" s="19"/>
      <c r="S244" s="586"/>
      <c r="T244" s="2"/>
      <c r="U244" s="3"/>
    </row>
    <row r="245" spans="1:21" s="1" customFormat="1" ht="54.75" customHeight="1" x14ac:dyDescent="0.35">
      <c r="A245" s="568"/>
      <c r="B245" s="573"/>
      <c r="C245" s="19"/>
      <c r="D245" s="41"/>
      <c r="E245" s="19"/>
      <c r="F245" s="477"/>
      <c r="G245" s="477"/>
      <c r="H245" s="24"/>
      <c r="I245" s="19"/>
      <c r="J245" s="19" t="s">
        <v>234</v>
      </c>
      <c r="K245" s="455" t="s">
        <v>288</v>
      </c>
      <c r="L245" s="19" t="s">
        <v>158</v>
      </c>
      <c r="M245" s="19">
        <v>374</v>
      </c>
      <c r="N245" s="19">
        <v>374</v>
      </c>
      <c r="O245" s="24">
        <f>IF(N245/M245*100&gt;110,110,N245/M245*100)</f>
        <v>100</v>
      </c>
      <c r="P245" s="468"/>
      <c r="Q245" s="35"/>
      <c r="R245" s="19"/>
      <c r="S245" s="586"/>
      <c r="T245" s="2"/>
      <c r="U245" s="3"/>
    </row>
    <row r="246" spans="1:21" s="1" customFormat="1" ht="45" customHeight="1" x14ac:dyDescent="0.35">
      <c r="A246" s="582"/>
      <c r="B246" s="574"/>
      <c r="C246" s="20"/>
      <c r="D246" s="466" t="s">
        <v>644</v>
      </c>
      <c r="E246" s="465"/>
      <c r="F246" s="20"/>
      <c r="G246" s="20"/>
      <c r="H246" s="18"/>
      <c r="I246" s="18">
        <f>H244</f>
        <v>100</v>
      </c>
      <c r="J246" s="128"/>
      <c r="K246" s="466" t="s">
        <v>644</v>
      </c>
      <c r="L246" s="20"/>
      <c r="M246" s="124"/>
      <c r="N246" s="124"/>
      <c r="O246" s="18"/>
      <c r="P246" s="18">
        <f>O245</f>
        <v>100</v>
      </c>
      <c r="Q246" s="18">
        <f>(I246+P246)/2</f>
        <v>100</v>
      </c>
      <c r="R246" s="465" t="s">
        <v>25</v>
      </c>
      <c r="S246" s="587"/>
      <c r="T246" s="2"/>
      <c r="U246" s="3"/>
    </row>
    <row r="247" spans="1:21" s="1" customFormat="1" ht="87.75" customHeight="1" x14ac:dyDescent="0.35">
      <c r="A247" s="567">
        <v>17</v>
      </c>
      <c r="B247" s="571" t="s">
        <v>643</v>
      </c>
      <c r="C247" s="454" t="s">
        <v>13</v>
      </c>
      <c r="D247" s="59" t="s">
        <v>14</v>
      </c>
      <c r="E247" s="454"/>
      <c r="F247" s="454"/>
      <c r="G247" s="454"/>
      <c r="H247" s="35"/>
      <c r="I247" s="35"/>
      <c r="J247" s="454" t="s">
        <v>13</v>
      </c>
      <c r="K247" s="59" t="s">
        <v>14</v>
      </c>
      <c r="L247" s="19"/>
      <c r="M247" s="19"/>
      <c r="N247" s="19"/>
      <c r="O247" s="35"/>
      <c r="P247" s="468"/>
      <c r="Q247" s="35"/>
      <c r="R247" s="19"/>
      <c r="S247" s="584" t="s">
        <v>642</v>
      </c>
      <c r="T247" s="2"/>
    </row>
    <row r="248" spans="1:21" s="1" customFormat="1" ht="75.75" customHeight="1" x14ac:dyDescent="0.35">
      <c r="A248" s="568"/>
      <c r="B248" s="572"/>
      <c r="C248" s="19" t="s">
        <v>16</v>
      </c>
      <c r="D248" s="41" t="s">
        <v>17</v>
      </c>
      <c r="E248" s="19" t="s">
        <v>18</v>
      </c>
      <c r="F248" s="19">
        <v>95</v>
      </c>
      <c r="G248" s="19">
        <v>100</v>
      </c>
      <c r="H248" s="24">
        <f>IF(G248/F248*100&gt;100,100,G248/F248*100)</f>
        <v>100</v>
      </c>
      <c r="I248" s="19"/>
      <c r="J248" s="19" t="s">
        <v>16</v>
      </c>
      <c r="K248" s="41" t="s">
        <v>43</v>
      </c>
      <c r="L248" s="19" t="s">
        <v>20</v>
      </c>
      <c r="M248" s="19">
        <v>91</v>
      </c>
      <c r="N248" s="19">
        <v>91</v>
      </c>
      <c r="O248" s="24">
        <f>IF(N248/M248*100&gt;110,110,N248/M248*100)</f>
        <v>100</v>
      </c>
      <c r="P248" s="468"/>
      <c r="Q248" s="35"/>
      <c r="R248" s="19"/>
      <c r="S248" s="585"/>
      <c r="T248" s="2"/>
    </row>
    <row r="249" spans="1:21" s="1" customFormat="1" ht="75.75" customHeight="1" x14ac:dyDescent="0.35">
      <c r="A249" s="568"/>
      <c r="B249" s="572"/>
      <c r="C249" s="19"/>
      <c r="D249" s="41"/>
      <c r="E249" s="19"/>
      <c r="F249" s="19"/>
      <c r="G249" s="19"/>
      <c r="H249" s="24"/>
      <c r="I249" s="19"/>
      <c r="J249" s="19" t="s">
        <v>21</v>
      </c>
      <c r="K249" s="41" t="s">
        <v>29</v>
      </c>
      <c r="L249" s="19" t="s">
        <v>20</v>
      </c>
      <c r="M249" s="19">
        <v>204</v>
      </c>
      <c r="N249" s="19">
        <v>204</v>
      </c>
      <c r="O249" s="24">
        <f>IF(N249/M249*100&gt;110,110,N249/M249*100)</f>
        <v>100</v>
      </c>
      <c r="P249" s="468"/>
      <c r="Q249" s="35"/>
      <c r="R249" s="19"/>
      <c r="S249" s="585"/>
      <c r="T249" s="2"/>
    </row>
    <row r="250" spans="1:21" s="1" customFormat="1" ht="48" customHeight="1" x14ac:dyDescent="0.35">
      <c r="A250" s="568"/>
      <c r="B250" s="572"/>
      <c r="C250" s="19"/>
      <c r="D250" s="41"/>
      <c r="E250" s="19"/>
      <c r="F250" s="19"/>
      <c r="G250" s="19"/>
      <c r="H250" s="24"/>
      <c r="I250" s="19"/>
      <c r="J250" s="19" t="s">
        <v>23</v>
      </c>
      <c r="K250" s="41" t="s">
        <v>72</v>
      </c>
      <c r="L250" s="19" t="s">
        <v>20</v>
      </c>
      <c r="M250" s="19">
        <v>45</v>
      </c>
      <c r="N250" s="19">
        <v>45</v>
      </c>
      <c r="O250" s="24">
        <f>IF(N250/M250*100&gt;110,110,N250/M250*100)</f>
        <v>100</v>
      </c>
      <c r="P250" s="468"/>
      <c r="Q250" s="35"/>
      <c r="R250" s="19"/>
      <c r="S250" s="585"/>
      <c r="T250" s="2"/>
    </row>
    <row r="251" spans="1:21" s="1" customFormat="1" ht="46.5" customHeight="1" x14ac:dyDescent="0.35">
      <c r="A251" s="568"/>
      <c r="B251" s="572"/>
      <c r="C251" s="128"/>
      <c r="D251" s="466" t="s">
        <v>644</v>
      </c>
      <c r="E251" s="20"/>
      <c r="F251" s="127"/>
      <c r="G251" s="126"/>
      <c r="H251" s="18"/>
      <c r="I251" s="18">
        <f>H248</f>
        <v>100</v>
      </c>
      <c r="J251" s="20"/>
      <c r="K251" s="466" t="s">
        <v>644</v>
      </c>
      <c r="L251" s="20"/>
      <c r="M251" s="124"/>
      <c r="N251" s="124"/>
      <c r="O251" s="18"/>
      <c r="P251" s="18">
        <f>(O250+O248+O249)/3</f>
        <v>100</v>
      </c>
      <c r="Q251" s="18">
        <f>(I251+P251)/2</f>
        <v>100</v>
      </c>
      <c r="R251" s="465" t="s">
        <v>25</v>
      </c>
      <c r="S251" s="585"/>
      <c r="T251" s="2"/>
      <c r="U251" s="3"/>
    </row>
    <row r="252" spans="1:21" s="1" customFormat="1" ht="42" customHeight="1" x14ac:dyDescent="0.35">
      <c r="A252" s="568"/>
      <c r="B252" s="572"/>
      <c r="C252" s="454" t="s">
        <v>26</v>
      </c>
      <c r="D252" s="59" t="s">
        <v>27</v>
      </c>
      <c r="E252" s="19"/>
      <c r="F252" s="19"/>
      <c r="G252" s="19"/>
      <c r="H252" s="35"/>
      <c r="I252" s="35"/>
      <c r="J252" s="454" t="s">
        <v>26</v>
      </c>
      <c r="K252" s="59" t="s">
        <v>27</v>
      </c>
      <c r="L252" s="19"/>
      <c r="M252" s="476"/>
      <c r="N252" s="476"/>
      <c r="O252" s="35"/>
      <c r="P252" s="468"/>
      <c r="Q252" s="35"/>
      <c r="R252" s="19"/>
      <c r="S252" s="585"/>
      <c r="T252" s="2"/>
    </row>
    <row r="253" spans="1:21" s="1" customFormat="1" ht="33" x14ac:dyDescent="0.35">
      <c r="A253" s="568"/>
      <c r="B253" s="572"/>
      <c r="C253" s="19" t="s">
        <v>28</v>
      </c>
      <c r="D253" s="41" t="s">
        <v>17</v>
      </c>
      <c r="E253" s="19" t="s">
        <v>18</v>
      </c>
      <c r="F253" s="19">
        <v>95</v>
      </c>
      <c r="G253" s="19">
        <v>100</v>
      </c>
      <c r="H253" s="24">
        <f>IF(G253/F253*100&gt;100,100,G253/F253*100)</f>
        <v>100</v>
      </c>
      <c r="I253" s="19"/>
      <c r="J253" s="578" t="s">
        <v>28</v>
      </c>
      <c r="K253" s="580" t="s">
        <v>53</v>
      </c>
      <c r="L253" s="575" t="s">
        <v>20</v>
      </c>
      <c r="M253" s="575">
        <v>334</v>
      </c>
      <c r="N253" s="575">
        <v>334</v>
      </c>
      <c r="O253" s="577">
        <f>IF(N253/M253*100&gt;110,110,N253/M253*100)</f>
        <v>100</v>
      </c>
      <c r="P253" s="588"/>
      <c r="Q253" s="590"/>
      <c r="R253" s="575"/>
      <c r="S253" s="585"/>
      <c r="T253" s="2"/>
    </row>
    <row r="254" spans="1:21" s="1" customFormat="1" ht="33" x14ac:dyDescent="0.35">
      <c r="A254" s="568"/>
      <c r="B254" s="572"/>
      <c r="C254" s="19" t="s">
        <v>30</v>
      </c>
      <c r="D254" s="41" t="s">
        <v>31</v>
      </c>
      <c r="E254" s="19" t="s">
        <v>32</v>
      </c>
      <c r="F254" s="19">
        <v>35</v>
      </c>
      <c r="G254" s="19">
        <v>27.6</v>
      </c>
      <c r="H254" s="24">
        <f>IF(F254/G254*100&gt;100,100,F254/G254*100)</f>
        <v>100</v>
      </c>
      <c r="I254" s="19"/>
      <c r="J254" s="579"/>
      <c r="K254" s="581"/>
      <c r="L254" s="583"/>
      <c r="M254" s="583"/>
      <c r="N254" s="583"/>
      <c r="O254" s="594"/>
      <c r="P254" s="589"/>
      <c r="Q254" s="591"/>
      <c r="R254" s="583"/>
      <c r="S254" s="585"/>
      <c r="T254" s="2"/>
    </row>
    <row r="255" spans="1:21" s="1" customFormat="1" x14ac:dyDescent="0.35">
      <c r="A255" s="568"/>
      <c r="B255" s="572"/>
      <c r="C255" s="19"/>
      <c r="D255" s="41"/>
      <c r="E255" s="19"/>
      <c r="F255" s="19"/>
      <c r="G255" s="19"/>
      <c r="H255" s="24"/>
      <c r="I255" s="19"/>
      <c r="J255" s="129" t="s">
        <v>30</v>
      </c>
      <c r="K255" s="41" t="s">
        <v>35</v>
      </c>
      <c r="L255" s="19" t="s">
        <v>20</v>
      </c>
      <c r="M255" s="19">
        <v>6</v>
      </c>
      <c r="N255" s="19">
        <v>6</v>
      </c>
      <c r="O255" s="24">
        <f>IF(N255/M255*100&gt;110,110,N255/M255*100)</f>
        <v>100</v>
      </c>
      <c r="P255" s="468"/>
      <c r="Q255" s="35"/>
      <c r="R255" s="19"/>
      <c r="S255" s="585"/>
      <c r="T255" s="2"/>
    </row>
    <row r="256" spans="1:21" s="1" customFormat="1" ht="46.5" customHeight="1" x14ac:dyDescent="0.35">
      <c r="A256" s="568"/>
      <c r="B256" s="572"/>
      <c r="C256" s="128"/>
      <c r="D256" s="466" t="s">
        <v>644</v>
      </c>
      <c r="E256" s="20"/>
      <c r="F256" s="127"/>
      <c r="G256" s="126"/>
      <c r="H256" s="18"/>
      <c r="I256" s="18">
        <f>(H253+H254)/2</f>
        <v>100</v>
      </c>
      <c r="J256" s="20"/>
      <c r="K256" s="466" t="s">
        <v>644</v>
      </c>
      <c r="L256" s="20"/>
      <c r="M256" s="124"/>
      <c r="N256" s="124"/>
      <c r="O256" s="18"/>
      <c r="P256" s="18">
        <f>(O255+O253+O254)/2</f>
        <v>100</v>
      </c>
      <c r="Q256" s="18">
        <f>(I256+P256)/2</f>
        <v>100</v>
      </c>
      <c r="R256" s="465" t="s">
        <v>25</v>
      </c>
      <c r="S256" s="585"/>
      <c r="T256" s="2"/>
      <c r="U256" s="3"/>
    </row>
    <row r="257" spans="1:21" s="1" customFormat="1" ht="54.75" customHeight="1" x14ac:dyDescent="0.35">
      <c r="A257" s="569"/>
      <c r="B257" s="573"/>
      <c r="C257" s="454" t="s">
        <v>36</v>
      </c>
      <c r="D257" s="59" t="s">
        <v>130</v>
      </c>
      <c r="E257" s="454"/>
      <c r="F257" s="454"/>
      <c r="G257" s="454"/>
      <c r="H257" s="35"/>
      <c r="I257" s="35"/>
      <c r="J257" s="454" t="s">
        <v>36</v>
      </c>
      <c r="K257" s="59" t="s">
        <v>130</v>
      </c>
      <c r="L257" s="19"/>
      <c r="M257" s="19"/>
      <c r="N257" s="19"/>
      <c r="O257" s="35"/>
      <c r="P257" s="35"/>
      <c r="Q257" s="35"/>
      <c r="R257" s="19"/>
      <c r="S257" s="586"/>
      <c r="T257" s="2"/>
      <c r="U257" s="3"/>
    </row>
    <row r="258" spans="1:21" s="1" customFormat="1" ht="54.75" customHeight="1" x14ac:dyDescent="0.35">
      <c r="A258" s="569"/>
      <c r="B258" s="573"/>
      <c r="C258" s="19" t="s">
        <v>38</v>
      </c>
      <c r="D258" s="41" t="s">
        <v>208</v>
      </c>
      <c r="E258" s="19" t="s">
        <v>18</v>
      </c>
      <c r="F258" s="19">
        <v>100</v>
      </c>
      <c r="G258" s="19">
        <v>100</v>
      </c>
      <c r="H258" s="24">
        <f>IF(G258/F258*100&gt;100,100,G258/F258*100)</f>
        <v>100</v>
      </c>
      <c r="I258" s="19"/>
      <c r="J258" s="19" t="s">
        <v>38</v>
      </c>
      <c r="K258" s="455" t="s">
        <v>223</v>
      </c>
      <c r="L258" s="19" t="s">
        <v>158</v>
      </c>
      <c r="M258" s="19"/>
      <c r="N258" s="19"/>
      <c r="O258" s="24"/>
      <c r="P258" s="468"/>
      <c r="Q258" s="35"/>
      <c r="R258" s="19"/>
      <c r="S258" s="586"/>
      <c r="T258" s="2"/>
      <c r="U258" s="3"/>
    </row>
    <row r="259" spans="1:21" s="1" customFormat="1" ht="54.75" customHeight="1" x14ac:dyDescent="0.35">
      <c r="A259" s="569"/>
      <c r="B259" s="573"/>
      <c r="C259" s="19"/>
      <c r="D259" s="41"/>
      <c r="E259" s="19"/>
      <c r="F259" s="477"/>
      <c r="G259" s="477"/>
      <c r="H259" s="24"/>
      <c r="I259" s="19"/>
      <c r="J259" s="19" t="s">
        <v>234</v>
      </c>
      <c r="K259" s="455" t="s">
        <v>288</v>
      </c>
      <c r="L259" s="19" t="s">
        <v>158</v>
      </c>
      <c r="M259" s="19">
        <v>374</v>
      </c>
      <c r="N259" s="19">
        <v>374</v>
      </c>
      <c r="O259" s="24">
        <f>IF(N259/M259*100&gt;110,110,N259/M259*100)</f>
        <v>100</v>
      </c>
      <c r="P259" s="468"/>
      <c r="Q259" s="35"/>
      <c r="R259" s="19"/>
      <c r="S259" s="586"/>
      <c r="T259" s="2"/>
      <c r="U259" s="3"/>
    </row>
    <row r="260" spans="1:21" s="1" customFormat="1" ht="54.75" customHeight="1" x14ac:dyDescent="0.35">
      <c r="A260" s="569"/>
      <c r="B260" s="573"/>
      <c r="C260" s="19"/>
      <c r="D260" s="41"/>
      <c r="E260" s="19"/>
      <c r="F260" s="477"/>
      <c r="G260" s="477"/>
      <c r="H260" s="24"/>
      <c r="I260" s="19"/>
      <c r="J260" s="19" t="s">
        <v>235</v>
      </c>
      <c r="K260" s="455" t="s">
        <v>289</v>
      </c>
      <c r="L260" s="19" t="s">
        <v>158</v>
      </c>
      <c r="M260" s="19">
        <v>374</v>
      </c>
      <c r="N260" s="19">
        <v>374</v>
      </c>
      <c r="O260" s="24">
        <f>IF(N260/M260*100&gt;110,110,N260/M260*100)</f>
        <v>100</v>
      </c>
      <c r="P260" s="468"/>
      <c r="Q260" s="35"/>
      <c r="R260" s="19"/>
      <c r="S260" s="586"/>
      <c r="T260" s="2"/>
      <c r="U260" s="3"/>
    </row>
    <row r="261" spans="1:21" s="1" customFormat="1" ht="50.25" customHeight="1" x14ac:dyDescent="0.35">
      <c r="A261" s="569"/>
      <c r="B261" s="573"/>
      <c r="C261" s="20"/>
      <c r="D261" s="466" t="s">
        <v>644</v>
      </c>
      <c r="E261" s="465"/>
      <c r="F261" s="20"/>
      <c r="G261" s="20"/>
      <c r="H261" s="18"/>
      <c r="I261" s="18">
        <f>H258</f>
        <v>100</v>
      </c>
      <c r="J261" s="128"/>
      <c r="K261" s="466" t="s">
        <v>644</v>
      </c>
      <c r="L261" s="20"/>
      <c r="M261" s="124"/>
      <c r="N261" s="124"/>
      <c r="O261" s="18"/>
      <c r="P261" s="18">
        <f>O260</f>
        <v>100</v>
      </c>
      <c r="Q261" s="18">
        <f>(I261+P261)/2</f>
        <v>100</v>
      </c>
      <c r="R261" s="465" t="s">
        <v>25</v>
      </c>
      <c r="S261" s="587"/>
      <c r="T261" s="2"/>
      <c r="U261" s="3"/>
    </row>
    <row r="262" spans="1:21" s="1" customFormat="1" ht="86.25" customHeight="1" x14ac:dyDescent="0.35">
      <c r="A262" s="567">
        <v>18</v>
      </c>
      <c r="B262" s="571" t="s">
        <v>75</v>
      </c>
      <c r="C262" s="454" t="s">
        <v>13</v>
      </c>
      <c r="D262" s="59" t="s">
        <v>14</v>
      </c>
      <c r="E262" s="454"/>
      <c r="F262" s="454"/>
      <c r="G262" s="454"/>
      <c r="H262" s="35"/>
      <c r="I262" s="35"/>
      <c r="J262" s="454" t="s">
        <v>13</v>
      </c>
      <c r="K262" s="59" t="s">
        <v>14</v>
      </c>
      <c r="L262" s="19"/>
      <c r="M262" s="19"/>
      <c r="N262" s="19"/>
      <c r="O262" s="35"/>
      <c r="P262" s="468"/>
      <c r="Q262" s="35"/>
      <c r="R262" s="19"/>
      <c r="S262" s="584" t="s">
        <v>15</v>
      </c>
      <c r="T262" s="2"/>
    </row>
    <row r="263" spans="1:21" s="1" customFormat="1" ht="33" x14ac:dyDescent="0.35">
      <c r="A263" s="568"/>
      <c r="B263" s="572"/>
      <c r="C263" s="19" t="s">
        <v>16</v>
      </c>
      <c r="D263" s="41" t="s">
        <v>17</v>
      </c>
      <c r="E263" s="19" t="s">
        <v>18</v>
      </c>
      <c r="F263" s="19">
        <v>95</v>
      </c>
      <c r="G263" s="19">
        <v>99.07</v>
      </c>
      <c r="H263" s="24">
        <f>IF(G263/F263*100&gt;100,100,G263/F263*100)</f>
        <v>100</v>
      </c>
      <c r="I263" s="19"/>
      <c r="J263" s="19" t="s">
        <v>16</v>
      </c>
      <c r="K263" s="41" t="s">
        <v>43</v>
      </c>
      <c r="L263" s="19" t="s">
        <v>20</v>
      </c>
      <c r="M263" s="19">
        <v>54</v>
      </c>
      <c r="N263" s="19">
        <v>54</v>
      </c>
      <c r="O263" s="24">
        <f>IF(N263/M263*100&gt;110,110,N263/M263*100)</f>
        <v>100</v>
      </c>
      <c r="P263" s="468"/>
      <c r="Q263" s="35"/>
      <c r="R263" s="19"/>
      <c r="S263" s="585"/>
      <c r="T263" s="2"/>
    </row>
    <row r="264" spans="1:21" s="1" customFormat="1" x14ac:dyDescent="0.35">
      <c r="A264" s="568"/>
      <c r="B264" s="572"/>
      <c r="C264" s="19"/>
      <c r="D264" s="41"/>
      <c r="E264" s="19"/>
      <c r="F264" s="19"/>
      <c r="G264" s="19"/>
      <c r="H264" s="24"/>
      <c r="I264" s="19"/>
      <c r="J264" s="19" t="s">
        <v>21</v>
      </c>
      <c r="K264" s="41" t="s">
        <v>72</v>
      </c>
      <c r="L264" s="19" t="s">
        <v>20</v>
      </c>
      <c r="M264" s="19">
        <v>25</v>
      </c>
      <c r="N264" s="19">
        <v>25</v>
      </c>
      <c r="O264" s="24">
        <f>IF(N264/M264*100&gt;110,110,N264/M264*100)</f>
        <v>100</v>
      </c>
      <c r="P264" s="468"/>
      <c r="Q264" s="35"/>
      <c r="R264" s="19"/>
      <c r="S264" s="585"/>
      <c r="T264" s="2"/>
    </row>
    <row r="265" spans="1:21" s="1" customFormat="1" ht="33" x14ac:dyDescent="0.35">
      <c r="A265" s="568"/>
      <c r="B265" s="572"/>
      <c r="C265" s="19"/>
      <c r="D265" s="41"/>
      <c r="E265" s="19"/>
      <c r="F265" s="19"/>
      <c r="G265" s="19"/>
      <c r="H265" s="24"/>
      <c r="I265" s="19"/>
      <c r="J265" s="19" t="s">
        <v>23</v>
      </c>
      <c r="K265" s="41" t="s">
        <v>29</v>
      </c>
      <c r="L265" s="19" t="s">
        <v>20</v>
      </c>
      <c r="M265" s="19">
        <v>188</v>
      </c>
      <c r="N265" s="19">
        <v>188</v>
      </c>
      <c r="O265" s="24">
        <f>IF(N265/M265*100&gt;110,110,N265/M265*100)</f>
        <v>100</v>
      </c>
      <c r="P265" s="468"/>
      <c r="Q265" s="35"/>
      <c r="R265" s="19"/>
      <c r="S265" s="585"/>
      <c r="T265" s="2"/>
    </row>
    <row r="266" spans="1:21" s="1" customFormat="1" ht="51.75" customHeight="1" x14ac:dyDescent="0.35">
      <c r="A266" s="568"/>
      <c r="B266" s="572"/>
      <c r="C266" s="128"/>
      <c r="D266" s="466" t="s">
        <v>644</v>
      </c>
      <c r="E266" s="20"/>
      <c r="F266" s="127"/>
      <c r="G266" s="126"/>
      <c r="H266" s="18"/>
      <c r="I266" s="18">
        <f>H263</f>
        <v>100</v>
      </c>
      <c r="J266" s="20"/>
      <c r="K266" s="466" t="s">
        <v>644</v>
      </c>
      <c r="L266" s="20"/>
      <c r="M266" s="124"/>
      <c r="N266" s="124"/>
      <c r="O266" s="18"/>
      <c r="P266" s="18">
        <f>(O265+O263)/2</f>
        <v>100</v>
      </c>
      <c r="Q266" s="18">
        <f>(I266+P266)/2</f>
        <v>100</v>
      </c>
      <c r="R266" s="465" t="s">
        <v>25</v>
      </c>
      <c r="S266" s="585"/>
      <c r="T266" s="2"/>
      <c r="U266" s="3"/>
    </row>
    <row r="267" spans="1:21" s="1" customFormat="1" ht="44.25" customHeight="1" x14ac:dyDescent="0.35">
      <c r="A267" s="568"/>
      <c r="B267" s="572"/>
      <c r="C267" s="454" t="s">
        <v>26</v>
      </c>
      <c r="D267" s="59" t="s">
        <v>27</v>
      </c>
      <c r="E267" s="19"/>
      <c r="F267" s="19"/>
      <c r="G267" s="19"/>
      <c r="H267" s="35"/>
      <c r="I267" s="35"/>
      <c r="J267" s="454" t="s">
        <v>26</v>
      </c>
      <c r="K267" s="59" t="s">
        <v>27</v>
      </c>
      <c r="L267" s="19"/>
      <c r="M267" s="476"/>
      <c r="N267" s="476"/>
      <c r="O267" s="35"/>
      <c r="P267" s="468"/>
      <c r="Q267" s="35"/>
      <c r="R267" s="19"/>
      <c r="S267" s="585"/>
      <c r="T267" s="2"/>
    </row>
    <row r="268" spans="1:21" s="1" customFormat="1" x14ac:dyDescent="0.35">
      <c r="A268" s="568"/>
      <c r="B268" s="572"/>
      <c r="C268" s="575" t="s">
        <v>28</v>
      </c>
      <c r="D268" s="580" t="s">
        <v>17</v>
      </c>
      <c r="E268" s="575" t="s">
        <v>18</v>
      </c>
      <c r="F268" s="575">
        <v>95</v>
      </c>
      <c r="G268" s="575">
        <v>98.45</v>
      </c>
      <c r="H268" s="577">
        <f>IF(G268/F268*100&gt;100,100,G268/F268*100)</f>
        <v>100</v>
      </c>
      <c r="I268" s="575"/>
      <c r="J268" s="578" t="s">
        <v>28</v>
      </c>
      <c r="K268" s="580" t="s">
        <v>53</v>
      </c>
      <c r="L268" s="575" t="s">
        <v>20</v>
      </c>
      <c r="M268" s="575">
        <v>265</v>
      </c>
      <c r="N268" s="575">
        <v>265</v>
      </c>
      <c r="O268" s="577">
        <f>IF(N268/M268*100&gt;110,110,N268/M268*100)</f>
        <v>100</v>
      </c>
      <c r="P268" s="588"/>
      <c r="Q268" s="590"/>
      <c r="R268" s="575"/>
      <c r="S268" s="585"/>
      <c r="T268" s="2"/>
    </row>
    <row r="269" spans="1:21" s="1" customFormat="1" x14ac:dyDescent="0.35">
      <c r="A269" s="568"/>
      <c r="B269" s="572"/>
      <c r="C269" s="576"/>
      <c r="D269" s="601"/>
      <c r="E269" s="576"/>
      <c r="F269" s="576"/>
      <c r="G269" s="576"/>
      <c r="H269" s="576"/>
      <c r="I269" s="576"/>
      <c r="J269" s="579"/>
      <c r="K269" s="581"/>
      <c r="L269" s="583"/>
      <c r="M269" s="583"/>
      <c r="N269" s="583"/>
      <c r="O269" s="594"/>
      <c r="P269" s="589"/>
      <c r="Q269" s="591"/>
      <c r="R269" s="583"/>
      <c r="S269" s="585"/>
      <c r="T269" s="2"/>
    </row>
    <row r="270" spans="1:21" s="1" customFormat="1" ht="33" x14ac:dyDescent="0.35">
      <c r="A270" s="568"/>
      <c r="B270" s="572"/>
      <c r="C270" s="19" t="s">
        <v>30</v>
      </c>
      <c r="D270" s="41" t="s">
        <v>31</v>
      </c>
      <c r="E270" s="19" t="s">
        <v>32</v>
      </c>
      <c r="F270" s="19">
        <v>35</v>
      </c>
      <c r="G270" s="19">
        <v>34.6</v>
      </c>
      <c r="H270" s="24">
        <f>IF(F270/G270*100&gt;100,100,F270/G270*100)</f>
        <v>100</v>
      </c>
      <c r="I270" s="19"/>
      <c r="J270" s="129" t="s">
        <v>30</v>
      </c>
      <c r="K270" s="41" t="s">
        <v>35</v>
      </c>
      <c r="L270" s="19" t="s">
        <v>20</v>
      </c>
      <c r="M270" s="19">
        <v>2</v>
      </c>
      <c r="N270" s="19">
        <v>2</v>
      </c>
      <c r="O270" s="24">
        <f>IF(N270/M270*100&gt;110,110,N270/M270*100)</f>
        <v>100</v>
      </c>
      <c r="P270" s="468"/>
      <c r="Q270" s="35"/>
      <c r="R270" s="19"/>
      <c r="S270" s="585"/>
      <c r="T270" s="2"/>
    </row>
    <row r="271" spans="1:21" s="1" customFormat="1" ht="55.5" customHeight="1" x14ac:dyDescent="0.35">
      <c r="A271" s="568"/>
      <c r="B271" s="572"/>
      <c r="C271" s="128"/>
      <c r="D271" s="466" t="s">
        <v>644</v>
      </c>
      <c r="E271" s="20"/>
      <c r="F271" s="127"/>
      <c r="G271" s="126"/>
      <c r="H271" s="18"/>
      <c r="I271" s="18">
        <f>(H268+H270)/2</f>
        <v>100</v>
      </c>
      <c r="J271" s="20"/>
      <c r="K271" s="466" t="s">
        <v>644</v>
      </c>
      <c r="L271" s="20"/>
      <c r="M271" s="124"/>
      <c r="N271" s="124"/>
      <c r="O271" s="18"/>
      <c r="P271" s="18">
        <f>(O268)/1</f>
        <v>100</v>
      </c>
      <c r="Q271" s="18">
        <f>(I271+P271)/2</f>
        <v>100</v>
      </c>
      <c r="R271" s="465" t="s">
        <v>25</v>
      </c>
      <c r="S271" s="585"/>
      <c r="T271" s="2"/>
      <c r="U271" s="3"/>
    </row>
    <row r="272" spans="1:21" s="1" customFormat="1" ht="54.75" customHeight="1" x14ac:dyDescent="0.35">
      <c r="A272" s="569"/>
      <c r="B272" s="573"/>
      <c r="C272" s="454" t="s">
        <v>36</v>
      </c>
      <c r="D272" s="59" t="s">
        <v>130</v>
      </c>
      <c r="E272" s="454"/>
      <c r="F272" s="454"/>
      <c r="G272" s="454"/>
      <c r="H272" s="35"/>
      <c r="I272" s="35"/>
      <c r="J272" s="454" t="s">
        <v>36</v>
      </c>
      <c r="K272" s="59" t="s">
        <v>130</v>
      </c>
      <c r="L272" s="19"/>
      <c r="M272" s="19"/>
      <c r="N272" s="19"/>
      <c r="O272" s="35"/>
      <c r="P272" s="35"/>
      <c r="Q272" s="35"/>
      <c r="R272" s="19"/>
      <c r="S272" s="586"/>
      <c r="T272" s="2"/>
      <c r="U272" s="3"/>
    </row>
    <row r="273" spans="1:21" s="1" customFormat="1" ht="54.75" customHeight="1" x14ac:dyDescent="0.35">
      <c r="A273" s="569"/>
      <c r="B273" s="573"/>
      <c r="C273" s="19" t="s">
        <v>38</v>
      </c>
      <c r="D273" s="41" t="s">
        <v>208</v>
      </c>
      <c r="E273" s="19" t="s">
        <v>18</v>
      </c>
      <c r="F273" s="19">
        <v>100</v>
      </c>
      <c r="G273" s="19">
        <v>100</v>
      </c>
      <c r="H273" s="24">
        <f>IF(G273/F273*100&gt;100,100,G273/F273*100)</f>
        <v>100</v>
      </c>
      <c r="I273" s="19"/>
      <c r="J273" s="19" t="s">
        <v>38</v>
      </c>
      <c r="K273" s="455" t="s">
        <v>223</v>
      </c>
      <c r="L273" s="19" t="s">
        <v>158</v>
      </c>
      <c r="M273" s="19"/>
      <c r="N273" s="19"/>
      <c r="O273" s="24"/>
      <c r="P273" s="468"/>
      <c r="Q273" s="35"/>
      <c r="R273" s="19"/>
      <c r="S273" s="586"/>
      <c r="T273" s="2"/>
      <c r="U273" s="3"/>
    </row>
    <row r="274" spans="1:21" s="1" customFormat="1" ht="54.75" customHeight="1" x14ac:dyDescent="0.35">
      <c r="A274" s="569"/>
      <c r="B274" s="573"/>
      <c r="C274" s="19"/>
      <c r="D274" s="41"/>
      <c r="E274" s="19"/>
      <c r="F274" s="477"/>
      <c r="G274" s="477"/>
      <c r="H274" s="24"/>
      <c r="I274" s="19"/>
      <c r="J274" s="19" t="s">
        <v>234</v>
      </c>
      <c r="K274" s="455" t="s">
        <v>287</v>
      </c>
      <c r="L274" s="19" t="s">
        <v>158</v>
      </c>
      <c r="M274" s="19">
        <v>374</v>
      </c>
      <c r="N274" s="19">
        <v>374</v>
      </c>
      <c r="O274" s="24">
        <f>IF(N274/M274*100&gt;110,110,N274/M274*100)</f>
        <v>100</v>
      </c>
      <c r="P274" s="468"/>
      <c r="Q274" s="35"/>
      <c r="R274" s="19"/>
      <c r="S274" s="586"/>
      <c r="T274" s="2"/>
      <c r="U274" s="3"/>
    </row>
    <row r="275" spans="1:21" s="1" customFormat="1" ht="48.75" customHeight="1" x14ac:dyDescent="0.35">
      <c r="A275" s="570"/>
      <c r="B275" s="574"/>
      <c r="C275" s="20"/>
      <c r="D275" s="466" t="s">
        <v>644</v>
      </c>
      <c r="E275" s="465"/>
      <c r="F275" s="20"/>
      <c r="G275" s="20"/>
      <c r="H275" s="18"/>
      <c r="I275" s="18">
        <f>H273</f>
        <v>100</v>
      </c>
      <c r="J275" s="128"/>
      <c r="K275" s="466" t="s">
        <v>644</v>
      </c>
      <c r="L275" s="20"/>
      <c r="M275" s="124"/>
      <c r="N275" s="124"/>
      <c r="O275" s="18"/>
      <c r="P275" s="18">
        <f>O274</f>
        <v>100</v>
      </c>
      <c r="Q275" s="18">
        <f>(I275+P275)/2</f>
        <v>100</v>
      </c>
      <c r="R275" s="465" t="s">
        <v>25</v>
      </c>
      <c r="S275" s="587"/>
      <c r="T275" s="2"/>
      <c r="U275" s="3"/>
    </row>
    <row r="276" spans="1:21" s="1" customFormat="1" ht="77.25" customHeight="1" x14ac:dyDescent="0.35">
      <c r="A276" s="567">
        <v>19</v>
      </c>
      <c r="B276" s="571" t="s">
        <v>76</v>
      </c>
      <c r="C276" s="454" t="s">
        <v>13</v>
      </c>
      <c r="D276" s="59" t="s">
        <v>14</v>
      </c>
      <c r="E276" s="454"/>
      <c r="F276" s="454"/>
      <c r="G276" s="454"/>
      <c r="H276" s="35"/>
      <c r="I276" s="35"/>
      <c r="J276" s="454" t="s">
        <v>13</v>
      </c>
      <c r="K276" s="59" t="s">
        <v>14</v>
      </c>
      <c r="L276" s="19"/>
      <c r="M276" s="19"/>
      <c r="N276" s="19"/>
      <c r="O276" s="35"/>
      <c r="P276" s="468"/>
      <c r="Q276" s="35"/>
      <c r="R276" s="19"/>
      <c r="S276" s="584" t="s">
        <v>15</v>
      </c>
      <c r="T276" s="2"/>
    </row>
    <row r="277" spans="1:21" s="1" customFormat="1" ht="33" x14ac:dyDescent="0.35">
      <c r="A277" s="568"/>
      <c r="B277" s="572"/>
      <c r="C277" s="19" t="s">
        <v>16</v>
      </c>
      <c r="D277" s="41" t="s">
        <v>17</v>
      </c>
      <c r="E277" s="19" t="s">
        <v>18</v>
      </c>
      <c r="F277" s="19">
        <v>95</v>
      </c>
      <c r="G277" s="19">
        <v>100</v>
      </c>
      <c r="H277" s="24">
        <f>IF(G277/F277*100&gt;100,100,G277/F277*100)</f>
        <v>100</v>
      </c>
      <c r="I277" s="19"/>
      <c r="J277" s="19" t="s">
        <v>16</v>
      </c>
      <c r="K277" s="41" t="s">
        <v>43</v>
      </c>
      <c r="L277" s="19" t="s">
        <v>20</v>
      </c>
      <c r="M277" s="19">
        <v>81</v>
      </c>
      <c r="N277" s="19">
        <v>81</v>
      </c>
      <c r="O277" s="24">
        <f>IF(N277/M277*100&gt;110,110,N277/M277*100)</f>
        <v>100</v>
      </c>
      <c r="P277" s="468"/>
      <c r="Q277" s="35"/>
      <c r="R277" s="19"/>
      <c r="S277" s="585"/>
      <c r="T277" s="2"/>
    </row>
    <row r="278" spans="1:21" s="1" customFormat="1" ht="33" x14ac:dyDescent="0.35">
      <c r="A278" s="568"/>
      <c r="B278" s="572"/>
      <c r="C278" s="19"/>
      <c r="D278" s="41"/>
      <c r="E278" s="19"/>
      <c r="F278" s="19"/>
      <c r="G278" s="19"/>
      <c r="H278" s="24"/>
      <c r="I278" s="19"/>
      <c r="J278" s="19" t="s">
        <v>21</v>
      </c>
      <c r="K278" s="41" t="s">
        <v>29</v>
      </c>
      <c r="L278" s="19" t="s">
        <v>20</v>
      </c>
      <c r="M278" s="19">
        <v>237</v>
      </c>
      <c r="N278" s="19">
        <v>237</v>
      </c>
      <c r="O278" s="24">
        <f>IF(N278/M278*100&gt;110,110,N278/M278*100)</f>
        <v>100</v>
      </c>
      <c r="P278" s="468"/>
      <c r="Q278" s="35"/>
      <c r="R278" s="19"/>
      <c r="S278" s="585"/>
      <c r="T278" s="2"/>
    </row>
    <row r="279" spans="1:21" s="1" customFormat="1" x14ac:dyDescent="0.35">
      <c r="A279" s="568"/>
      <c r="B279" s="572"/>
      <c r="C279" s="19"/>
      <c r="D279" s="41"/>
      <c r="E279" s="19"/>
      <c r="F279" s="19"/>
      <c r="G279" s="19"/>
      <c r="H279" s="24"/>
      <c r="I279" s="19"/>
      <c r="J279" s="19" t="s">
        <v>23</v>
      </c>
      <c r="K279" s="41" t="s">
        <v>72</v>
      </c>
      <c r="L279" s="19" t="s">
        <v>20</v>
      </c>
      <c r="M279" s="19">
        <v>15</v>
      </c>
      <c r="N279" s="19">
        <v>15</v>
      </c>
      <c r="O279" s="24">
        <f>IF(N279/M279*100&gt;110,110,N279/M279*100)</f>
        <v>100</v>
      </c>
      <c r="P279" s="468"/>
      <c r="Q279" s="35"/>
      <c r="R279" s="19"/>
      <c r="S279" s="585"/>
      <c r="T279" s="2"/>
    </row>
    <row r="280" spans="1:21" s="1" customFormat="1" ht="45" customHeight="1" x14ac:dyDescent="0.35">
      <c r="A280" s="568"/>
      <c r="B280" s="572"/>
      <c r="C280" s="128"/>
      <c r="D280" s="466" t="s">
        <v>644</v>
      </c>
      <c r="E280" s="20"/>
      <c r="F280" s="127"/>
      <c r="G280" s="126"/>
      <c r="H280" s="18"/>
      <c r="I280" s="18">
        <f>H277</f>
        <v>100</v>
      </c>
      <c r="J280" s="20"/>
      <c r="K280" s="466" t="s">
        <v>644</v>
      </c>
      <c r="L280" s="20"/>
      <c r="M280" s="124"/>
      <c r="N280" s="124"/>
      <c r="O280" s="18"/>
      <c r="P280" s="18">
        <f>(O279+O277+O278)/3</f>
        <v>100</v>
      </c>
      <c r="Q280" s="18">
        <f>(I280+P280)/2</f>
        <v>100</v>
      </c>
      <c r="R280" s="465" t="s">
        <v>25</v>
      </c>
      <c r="S280" s="585"/>
      <c r="T280" s="2"/>
      <c r="U280" s="3"/>
    </row>
    <row r="281" spans="1:21" s="1" customFormat="1" ht="44.25" customHeight="1" x14ac:dyDescent="0.35">
      <c r="A281" s="568"/>
      <c r="B281" s="572"/>
      <c r="C281" s="454" t="s">
        <v>26</v>
      </c>
      <c r="D281" s="59" t="s">
        <v>27</v>
      </c>
      <c r="E281" s="19"/>
      <c r="F281" s="19"/>
      <c r="G281" s="19"/>
      <c r="H281" s="35"/>
      <c r="I281" s="35"/>
      <c r="J281" s="454" t="s">
        <v>26</v>
      </c>
      <c r="K281" s="59" t="s">
        <v>27</v>
      </c>
      <c r="L281" s="19"/>
      <c r="M281" s="476"/>
      <c r="N281" s="476"/>
      <c r="O281" s="35"/>
      <c r="P281" s="468"/>
      <c r="Q281" s="35"/>
      <c r="R281" s="19"/>
      <c r="S281" s="585"/>
      <c r="T281" s="2"/>
    </row>
    <row r="282" spans="1:21" s="1" customFormat="1" ht="33" x14ac:dyDescent="0.35">
      <c r="A282" s="568"/>
      <c r="B282" s="572"/>
      <c r="C282" s="19" t="s">
        <v>28</v>
      </c>
      <c r="D282" s="41" t="s">
        <v>17</v>
      </c>
      <c r="E282" s="19" t="s">
        <v>18</v>
      </c>
      <c r="F282" s="19">
        <v>95</v>
      </c>
      <c r="G282" s="19">
        <v>99</v>
      </c>
      <c r="H282" s="24">
        <f>IF(G282/F282*100&gt;100,100,G282/F282*100)</f>
        <v>100</v>
      </c>
      <c r="I282" s="19"/>
      <c r="J282" s="578" t="s">
        <v>28</v>
      </c>
      <c r="K282" s="580" t="s">
        <v>45</v>
      </c>
      <c r="L282" s="575" t="s">
        <v>20</v>
      </c>
      <c r="M282" s="575">
        <v>294</v>
      </c>
      <c r="N282" s="575">
        <v>294</v>
      </c>
      <c r="O282" s="577">
        <f t="shared" ref="O282:O287" si="0">IF(N282/M282*100&gt;110,110,N282/M282*100)</f>
        <v>100</v>
      </c>
      <c r="P282" s="588"/>
      <c r="Q282" s="590"/>
      <c r="R282" s="575"/>
      <c r="S282" s="585"/>
      <c r="T282" s="2"/>
    </row>
    <row r="283" spans="1:21" s="1" customFormat="1" ht="33" x14ac:dyDescent="0.35">
      <c r="A283" s="568"/>
      <c r="B283" s="572"/>
      <c r="C283" s="19" t="s">
        <v>30</v>
      </c>
      <c r="D283" s="41" t="s">
        <v>31</v>
      </c>
      <c r="E283" s="19" t="s">
        <v>32</v>
      </c>
      <c r="F283" s="19">
        <v>35</v>
      </c>
      <c r="G283" s="19">
        <v>31.2</v>
      </c>
      <c r="H283" s="24">
        <f>IF(F283/G283*100&gt;100,100,F283/G283*100)</f>
        <v>100</v>
      </c>
      <c r="I283" s="19"/>
      <c r="J283" s="579"/>
      <c r="K283" s="581"/>
      <c r="L283" s="583"/>
      <c r="M283" s="583"/>
      <c r="N283" s="583"/>
      <c r="O283" s="594"/>
      <c r="P283" s="589"/>
      <c r="Q283" s="591"/>
      <c r="R283" s="583"/>
      <c r="S283" s="585"/>
      <c r="T283" s="2"/>
    </row>
    <row r="284" spans="1:21" s="1" customFormat="1" ht="33" customHeight="1" x14ac:dyDescent="0.35">
      <c r="A284" s="568"/>
      <c r="B284" s="572"/>
      <c r="C284" s="19"/>
      <c r="D284" s="41"/>
      <c r="E284" s="19"/>
      <c r="F284" s="19"/>
      <c r="G284" s="19"/>
      <c r="H284" s="24"/>
      <c r="I284" s="19"/>
      <c r="J284" s="129" t="s">
        <v>30</v>
      </c>
      <c r="K284" s="41" t="s">
        <v>35</v>
      </c>
      <c r="L284" s="19" t="s">
        <v>20</v>
      </c>
      <c r="M284" s="19">
        <v>5</v>
      </c>
      <c r="N284" s="19">
        <v>5</v>
      </c>
      <c r="O284" s="24">
        <f t="shared" si="0"/>
        <v>100</v>
      </c>
      <c r="P284" s="468"/>
      <c r="Q284" s="35"/>
      <c r="R284" s="19"/>
      <c r="S284" s="585"/>
      <c r="T284" s="2"/>
    </row>
    <row r="285" spans="1:21" s="1" customFormat="1" ht="33" x14ac:dyDescent="0.35">
      <c r="A285" s="568"/>
      <c r="B285" s="572"/>
      <c r="C285" s="19"/>
      <c r="D285" s="41"/>
      <c r="E285" s="19"/>
      <c r="F285" s="19"/>
      <c r="G285" s="19"/>
      <c r="H285" s="24"/>
      <c r="I285" s="19"/>
      <c r="J285" s="129" t="s">
        <v>34</v>
      </c>
      <c r="K285" s="41" t="s">
        <v>77</v>
      </c>
      <c r="L285" s="19" t="s">
        <v>20</v>
      </c>
      <c r="M285" s="19">
        <v>11</v>
      </c>
      <c r="N285" s="19">
        <v>11</v>
      </c>
      <c r="O285" s="24">
        <f t="shared" si="0"/>
        <v>100</v>
      </c>
      <c r="P285" s="468"/>
      <c r="Q285" s="35"/>
      <c r="R285" s="19"/>
      <c r="S285" s="585"/>
      <c r="T285" s="2"/>
    </row>
    <row r="286" spans="1:21" s="1" customFormat="1" ht="33" x14ac:dyDescent="0.35">
      <c r="A286" s="568"/>
      <c r="B286" s="572"/>
      <c r="C286" s="19"/>
      <c r="D286" s="41"/>
      <c r="E286" s="19"/>
      <c r="F286" s="19"/>
      <c r="G286" s="19"/>
      <c r="H286" s="24"/>
      <c r="I286" s="19"/>
      <c r="J286" s="129" t="s">
        <v>78</v>
      </c>
      <c r="K286" s="41" t="s">
        <v>33</v>
      </c>
      <c r="L286" s="19" t="s">
        <v>20</v>
      </c>
      <c r="M286" s="19">
        <v>1</v>
      </c>
      <c r="N286" s="19">
        <v>1</v>
      </c>
      <c r="O286" s="24">
        <f t="shared" si="0"/>
        <v>100</v>
      </c>
      <c r="P286" s="468"/>
      <c r="Q286" s="35"/>
      <c r="R286" s="19"/>
      <c r="S286" s="585"/>
      <c r="T286" s="2"/>
    </row>
    <row r="287" spans="1:21" s="1" customFormat="1" ht="33" x14ac:dyDescent="0.35">
      <c r="A287" s="568"/>
      <c r="B287" s="572"/>
      <c r="C287" s="19"/>
      <c r="D287" s="41"/>
      <c r="E287" s="19"/>
      <c r="F287" s="19"/>
      <c r="G287" s="19"/>
      <c r="H287" s="24"/>
      <c r="I287" s="19"/>
      <c r="J287" s="129" t="s">
        <v>79</v>
      </c>
      <c r="K287" s="41" t="s">
        <v>80</v>
      </c>
      <c r="L287" s="19" t="s">
        <v>20</v>
      </c>
      <c r="M287" s="19">
        <v>22</v>
      </c>
      <c r="N287" s="19">
        <v>22</v>
      </c>
      <c r="O287" s="24">
        <f t="shared" si="0"/>
        <v>100</v>
      </c>
      <c r="P287" s="468"/>
      <c r="Q287" s="35"/>
      <c r="R287" s="19"/>
      <c r="S287" s="585"/>
      <c r="T287" s="2"/>
    </row>
    <row r="288" spans="1:21" s="1" customFormat="1" ht="48" customHeight="1" x14ac:dyDescent="0.35">
      <c r="A288" s="568"/>
      <c r="B288" s="572"/>
      <c r="C288" s="465"/>
      <c r="D288" s="466" t="s">
        <v>644</v>
      </c>
      <c r="E288" s="465"/>
      <c r="F288" s="20"/>
      <c r="G288" s="20"/>
      <c r="H288" s="18"/>
      <c r="I288" s="18">
        <f>(H282+H283)/2</f>
        <v>100</v>
      </c>
      <c r="J288" s="128"/>
      <c r="K288" s="466" t="s">
        <v>644</v>
      </c>
      <c r="L288" s="20"/>
      <c r="M288" s="124"/>
      <c r="N288" s="124"/>
      <c r="O288" s="18"/>
      <c r="P288" s="18">
        <f>(O287+O284+O285+O283+O282)/4</f>
        <v>100</v>
      </c>
      <c r="Q288" s="18">
        <f>(I288+P288)/2</f>
        <v>100</v>
      </c>
      <c r="R288" s="465" t="s">
        <v>25</v>
      </c>
      <c r="S288" s="585"/>
      <c r="T288" s="2"/>
    </row>
    <row r="289" spans="1:21" s="1" customFormat="1" ht="48.75" customHeight="1" x14ac:dyDescent="0.35">
      <c r="A289" s="569"/>
      <c r="B289" s="573"/>
      <c r="C289" s="454" t="s">
        <v>36</v>
      </c>
      <c r="D289" s="59" t="s">
        <v>130</v>
      </c>
      <c r="E289" s="454"/>
      <c r="F289" s="454"/>
      <c r="G289" s="454"/>
      <c r="H289" s="35"/>
      <c r="I289" s="35"/>
      <c r="J289" s="454" t="s">
        <v>36</v>
      </c>
      <c r="K289" s="59" t="s">
        <v>130</v>
      </c>
      <c r="L289" s="19"/>
      <c r="M289" s="19"/>
      <c r="N289" s="19"/>
      <c r="O289" s="35"/>
      <c r="P289" s="35"/>
      <c r="Q289" s="35"/>
      <c r="R289" s="19"/>
      <c r="S289" s="586"/>
      <c r="T289" s="2"/>
    </row>
    <row r="290" spans="1:21" s="1" customFormat="1" ht="48.75" customHeight="1" x14ac:dyDescent="0.35">
      <c r="A290" s="569"/>
      <c r="B290" s="573"/>
      <c r="C290" s="19" t="s">
        <v>38</v>
      </c>
      <c r="D290" s="41" t="s">
        <v>208</v>
      </c>
      <c r="E290" s="19" t="s">
        <v>18</v>
      </c>
      <c r="F290" s="19">
        <v>100</v>
      </c>
      <c r="G290" s="19">
        <v>100</v>
      </c>
      <c r="H290" s="24">
        <f>IF(G290/F290*100&gt;100,100,G290/F290*100)</f>
        <v>100</v>
      </c>
      <c r="I290" s="19"/>
      <c r="J290" s="19" t="s">
        <v>38</v>
      </c>
      <c r="K290" s="455" t="s">
        <v>223</v>
      </c>
      <c r="L290" s="19" t="s">
        <v>158</v>
      </c>
      <c r="M290" s="19"/>
      <c r="N290" s="19"/>
      <c r="O290" s="24"/>
      <c r="P290" s="468"/>
      <c r="Q290" s="35"/>
      <c r="R290" s="19"/>
      <c r="S290" s="586"/>
      <c r="T290" s="2"/>
    </row>
    <row r="291" spans="1:21" s="1" customFormat="1" ht="48.75" customHeight="1" x14ac:dyDescent="0.35">
      <c r="A291" s="569"/>
      <c r="B291" s="573"/>
      <c r="C291" s="19"/>
      <c r="D291" s="41"/>
      <c r="E291" s="19"/>
      <c r="F291" s="477"/>
      <c r="G291" s="477"/>
      <c r="H291" s="24"/>
      <c r="I291" s="19"/>
      <c r="J291" s="19" t="s">
        <v>234</v>
      </c>
      <c r="K291" s="455" t="s">
        <v>290</v>
      </c>
      <c r="L291" s="19" t="s">
        <v>158</v>
      </c>
      <c r="M291" s="19">
        <v>374</v>
      </c>
      <c r="N291" s="19">
        <v>374</v>
      </c>
      <c r="O291" s="24">
        <f>IF(N291/M291*100&gt;110,110,N291/M291*100)</f>
        <v>100</v>
      </c>
      <c r="P291" s="468"/>
      <c r="Q291" s="35"/>
      <c r="R291" s="19"/>
      <c r="S291" s="586"/>
      <c r="T291" s="2"/>
    </row>
    <row r="292" spans="1:21" s="1" customFormat="1" ht="48.75" customHeight="1" x14ac:dyDescent="0.35">
      <c r="A292" s="570"/>
      <c r="B292" s="574"/>
      <c r="C292" s="20"/>
      <c r="D292" s="466" t="s">
        <v>644</v>
      </c>
      <c r="E292" s="465"/>
      <c r="F292" s="20"/>
      <c r="G292" s="20"/>
      <c r="H292" s="18"/>
      <c r="I292" s="18">
        <f>H290</f>
        <v>100</v>
      </c>
      <c r="J292" s="128"/>
      <c r="K292" s="466" t="s">
        <v>644</v>
      </c>
      <c r="L292" s="20"/>
      <c r="M292" s="124"/>
      <c r="N292" s="124"/>
      <c r="O292" s="18"/>
      <c r="P292" s="18">
        <f>O291</f>
        <v>100</v>
      </c>
      <c r="Q292" s="18">
        <f>(I292+P292)/2</f>
        <v>100</v>
      </c>
      <c r="R292" s="465" t="s">
        <v>25</v>
      </c>
      <c r="S292" s="587"/>
      <c r="T292" s="2"/>
    </row>
    <row r="293" spans="1:21" s="1" customFormat="1" ht="73.5" customHeight="1" x14ac:dyDescent="0.35">
      <c r="A293" s="567">
        <v>20</v>
      </c>
      <c r="B293" s="571" t="s">
        <v>81</v>
      </c>
      <c r="C293" s="454" t="s">
        <v>13</v>
      </c>
      <c r="D293" s="59" t="s">
        <v>14</v>
      </c>
      <c r="E293" s="454"/>
      <c r="F293" s="454"/>
      <c r="G293" s="454"/>
      <c r="H293" s="35"/>
      <c r="I293" s="35"/>
      <c r="J293" s="454" t="s">
        <v>13</v>
      </c>
      <c r="K293" s="59" t="s">
        <v>14</v>
      </c>
      <c r="L293" s="19"/>
      <c r="M293" s="19"/>
      <c r="N293" s="19"/>
      <c r="O293" s="35"/>
      <c r="P293" s="468"/>
      <c r="Q293" s="35"/>
      <c r="R293" s="19"/>
      <c r="S293" s="584" t="s">
        <v>15</v>
      </c>
      <c r="T293" s="2"/>
    </row>
    <row r="294" spans="1:21" s="1" customFormat="1" ht="80.25" customHeight="1" x14ac:dyDescent="0.35">
      <c r="A294" s="568"/>
      <c r="B294" s="572"/>
      <c r="C294" s="19" t="s">
        <v>16</v>
      </c>
      <c r="D294" s="41" t="s">
        <v>17</v>
      </c>
      <c r="E294" s="19" t="s">
        <v>18</v>
      </c>
      <c r="F294" s="19">
        <v>95</v>
      </c>
      <c r="G294" s="19">
        <v>100</v>
      </c>
      <c r="H294" s="24">
        <f>IF(G294/F294*100&gt;100,100,G294/F294*100)</f>
        <v>100</v>
      </c>
      <c r="I294" s="19"/>
      <c r="J294" s="19" t="s">
        <v>16</v>
      </c>
      <c r="K294" s="41" t="s">
        <v>43</v>
      </c>
      <c r="L294" s="19" t="s">
        <v>20</v>
      </c>
      <c r="M294" s="19">
        <v>66</v>
      </c>
      <c r="N294" s="19">
        <v>66</v>
      </c>
      <c r="O294" s="24">
        <f>IF(N294/M294*100&gt;110,110,N294/M294*100)</f>
        <v>100</v>
      </c>
      <c r="P294" s="468"/>
      <c r="Q294" s="35"/>
      <c r="R294" s="19"/>
      <c r="S294" s="585"/>
      <c r="T294" s="2"/>
    </row>
    <row r="295" spans="1:21" s="1" customFormat="1" ht="80.25" customHeight="1" x14ac:dyDescent="0.35">
      <c r="A295" s="568"/>
      <c r="B295" s="572"/>
      <c r="C295" s="19"/>
      <c r="D295" s="41"/>
      <c r="E295" s="19"/>
      <c r="F295" s="19"/>
      <c r="G295" s="19"/>
      <c r="H295" s="24"/>
      <c r="I295" s="19"/>
      <c r="J295" s="19" t="s">
        <v>21</v>
      </c>
      <c r="K295" s="41" t="s">
        <v>29</v>
      </c>
      <c r="L295" s="19" t="s">
        <v>20</v>
      </c>
      <c r="M295" s="19">
        <v>213</v>
      </c>
      <c r="N295" s="19">
        <v>213</v>
      </c>
      <c r="O295" s="24">
        <f>IF(N295/M295*100&gt;110,110,N295/M295*100)</f>
        <v>100</v>
      </c>
      <c r="P295" s="468"/>
      <c r="Q295" s="35"/>
      <c r="R295" s="19"/>
      <c r="S295" s="585"/>
      <c r="T295" s="2"/>
    </row>
    <row r="296" spans="1:21" s="1" customFormat="1" x14ac:dyDescent="0.35">
      <c r="A296" s="568"/>
      <c r="B296" s="572"/>
      <c r="C296" s="19"/>
      <c r="D296" s="41"/>
      <c r="E296" s="19"/>
      <c r="F296" s="19"/>
      <c r="G296" s="19"/>
      <c r="H296" s="24"/>
      <c r="I296" s="19"/>
      <c r="J296" s="19" t="s">
        <v>23</v>
      </c>
      <c r="K296" s="41" t="s">
        <v>72</v>
      </c>
      <c r="L296" s="19" t="s">
        <v>20</v>
      </c>
      <c r="M296" s="19">
        <v>14</v>
      </c>
      <c r="N296" s="19">
        <v>14</v>
      </c>
      <c r="O296" s="24">
        <f>IF(N296/M296*100&gt;110,110,N296/M296*100)</f>
        <v>100</v>
      </c>
      <c r="P296" s="468"/>
      <c r="Q296" s="35"/>
      <c r="R296" s="19"/>
      <c r="S296" s="585"/>
      <c r="T296" s="2"/>
    </row>
    <row r="297" spans="1:21" s="1" customFormat="1" ht="54.75" customHeight="1" x14ac:dyDescent="0.35">
      <c r="A297" s="568"/>
      <c r="B297" s="572"/>
      <c r="C297" s="128"/>
      <c r="D297" s="466" t="s">
        <v>644</v>
      </c>
      <c r="E297" s="20"/>
      <c r="F297" s="127"/>
      <c r="G297" s="126"/>
      <c r="H297" s="18"/>
      <c r="I297" s="18">
        <f>H294</f>
        <v>100</v>
      </c>
      <c r="J297" s="20"/>
      <c r="K297" s="466" t="s">
        <v>644</v>
      </c>
      <c r="L297" s="20"/>
      <c r="M297" s="124"/>
      <c r="N297" s="124"/>
      <c r="O297" s="18"/>
      <c r="P297" s="18">
        <f>(O296+O294+O295)/3</f>
        <v>100</v>
      </c>
      <c r="Q297" s="18">
        <f>(I297+P297)/2</f>
        <v>100</v>
      </c>
      <c r="R297" s="465" t="s">
        <v>25</v>
      </c>
      <c r="S297" s="585"/>
      <c r="T297" s="2"/>
      <c r="U297" s="3"/>
    </row>
    <row r="298" spans="1:21" s="1" customFormat="1" ht="36" customHeight="1" x14ac:dyDescent="0.35">
      <c r="A298" s="568"/>
      <c r="B298" s="572"/>
      <c r="C298" s="454" t="s">
        <v>26</v>
      </c>
      <c r="D298" s="59" t="s">
        <v>27</v>
      </c>
      <c r="E298" s="19"/>
      <c r="F298" s="19"/>
      <c r="G298" s="19"/>
      <c r="H298" s="35"/>
      <c r="I298" s="35"/>
      <c r="J298" s="454" t="s">
        <v>26</v>
      </c>
      <c r="K298" s="59" t="s">
        <v>27</v>
      </c>
      <c r="L298" s="19"/>
      <c r="M298" s="476"/>
      <c r="N298" s="476"/>
      <c r="O298" s="35"/>
      <c r="P298" s="468"/>
      <c r="Q298" s="35"/>
      <c r="R298" s="19"/>
      <c r="S298" s="585"/>
      <c r="T298" s="2"/>
    </row>
    <row r="299" spans="1:21" s="1" customFormat="1" ht="33" x14ac:dyDescent="0.35">
      <c r="A299" s="568"/>
      <c r="B299" s="572"/>
      <c r="C299" s="19" t="s">
        <v>28</v>
      </c>
      <c r="D299" s="41" t="s">
        <v>17</v>
      </c>
      <c r="E299" s="19" t="s">
        <v>18</v>
      </c>
      <c r="F299" s="19">
        <v>95</v>
      </c>
      <c r="G299" s="19">
        <v>100</v>
      </c>
      <c r="H299" s="24">
        <f>IF(G299/F299*100&gt;100,100,G299/F299*100)</f>
        <v>100</v>
      </c>
      <c r="I299" s="19"/>
      <c r="J299" s="129" t="s">
        <v>28</v>
      </c>
      <c r="K299" s="41" t="s">
        <v>53</v>
      </c>
      <c r="L299" s="19" t="s">
        <v>20</v>
      </c>
      <c r="M299" s="19">
        <v>292</v>
      </c>
      <c r="N299" s="19">
        <v>292</v>
      </c>
      <c r="O299" s="24">
        <f>IF(N299/M299*100&gt;110,110,N299/M299*100)</f>
        <v>100</v>
      </c>
      <c r="P299" s="468"/>
      <c r="Q299" s="35"/>
      <c r="R299" s="19"/>
      <c r="S299" s="585"/>
      <c r="T299" s="2"/>
    </row>
    <row r="300" spans="1:21" s="1" customFormat="1" ht="33" x14ac:dyDescent="0.35">
      <c r="A300" s="568"/>
      <c r="B300" s="572"/>
      <c r="C300" s="19" t="s">
        <v>30</v>
      </c>
      <c r="D300" s="41" t="s">
        <v>31</v>
      </c>
      <c r="E300" s="19" t="s">
        <v>32</v>
      </c>
      <c r="F300" s="19">
        <v>35</v>
      </c>
      <c r="G300" s="19">
        <v>35</v>
      </c>
      <c r="H300" s="24">
        <f>IF(F300/G300*100&gt;100,100,F300/G300*100)</f>
        <v>100</v>
      </c>
      <c r="I300" s="19"/>
      <c r="J300" s="129" t="s">
        <v>30</v>
      </c>
      <c r="K300" s="41" t="s">
        <v>82</v>
      </c>
      <c r="L300" s="19" t="s">
        <v>20</v>
      </c>
      <c r="M300" s="19">
        <v>1</v>
      </c>
      <c r="N300" s="19">
        <v>1</v>
      </c>
      <c r="O300" s="24">
        <f>IF(N300/M300*100&gt;110,110,N300/M300*100)</f>
        <v>100</v>
      </c>
      <c r="P300" s="468"/>
      <c r="Q300" s="35"/>
      <c r="R300" s="19"/>
      <c r="S300" s="585"/>
      <c r="T300" s="2"/>
    </row>
    <row r="301" spans="1:21" s="1" customFormat="1" ht="55.5" customHeight="1" x14ac:dyDescent="0.35">
      <c r="A301" s="568"/>
      <c r="B301" s="572"/>
      <c r="C301" s="465"/>
      <c r="D301" s="466" t="s">
        <v>644</v>
      </c>
      <c r="E301" s="465"/>
      <c r="F301" s="20"/>
      <c r="G301" s="20"/>
      <c r="H301" s="18"/>
      <c r="I301" s="18">
        <f>(H299+H300)/2</f>
        <v>100</v>
      </c>
      <c r="J301" s="128"/>
      <c r="K301" s="466" t="s">
        <v>644</v>
      </c>
      <c r="L301" s="20"/>
      <c r="M301" s="124"/>
      <c r="N301" s="124"/>
      <c r="O301" s="18"/>
      <c r="P301" s="18">
        <f>O299/1</f>
        <v>100</v>
      </c>
      <c r="Q301" s="18">
        <f>(I301+P301)/2</f>
        <v>100</v>
      </c>
      <c r="R301" s="465" t="s">
        <v>25</v>
      </c>
      <c r="S301" s="585"/>
      <c r="T301" s="2"/>
    </row>
    <row r="302" spans="1:21" s="1" customFormat="1" ht="55.5" customHeight="1" x14ac:dyDescent="0.35">
      <c r="A302" s="569"/>
      <c r="B302" s="573"/>
      <c r="C302" s="454" t="s">
        <v>36</v>
      </c>
      <c r="D302" s="59" t="s">
        <v>130</v>
      </c>
      <c r="E302" s="454"/>
      <c r="F302" s="454"/>
      <c r="G302" s="454"/>
      <c r="H302" s="35"/>
      <c r="I302" s="35"/>
      <c r="J302" s="454" t="s">
        <v>36</v>
      </c>
      <c r="K302" s="59" t="s">
        <v>130</v>
      </c>
      <c r="L302" s="19"/>
      <c r="M302" s="19"/>
      <c r="N302" s="19"/>
      <c r="O302" s="35"/>
      <c r="P302" s="35"/>
      <c r="Q302" s="35"/>
      <c r="R302" s="19"/>
      <c r="S302" s="586"/>
      <c r="T302" s="2"/>
    </row>
    <row r="303" spans="1:21" s="1" customFormat="1" ht="55.5" customHeight="1" x14ac:dyDescent="0.35">
      <c r="A303" s="569"/>
      <c r="B303" s="573"/>
      <c r="C303" s="19" t="s">
        <v>38</v>
      </c>
      <c r="D303" s="41" t="s">
        <v>208</v>
      </c>
      <c r="E303" s="19" t="s">
        <v>18</v>
      </c>
      <c r="F303" s="19">
        <v>100</v>
      </c>
      <c r="G303" s="19">
        <v>100</v>
      </c>
      <c r="H303" s="24">
        <f>IF(G303/F303*100&gt;100,100,G303/F303*100)</f>
        <v>100</v>
      </c>
      <c r="I303" s="19"/>
      <c r="J303" s="19" t="s">
        <v>38</v>
      </c>
      <c r="K303" s="455" t="s">
        <v>223</v>
      </c>
      <c r="L303" s="19" t="s">
        <v>158</v>
      </c>
      <c r="M303" s="19"/>
      <c r="N303" s="19"/>
      <c r="O303" s="24"/>
      <c r="P303" s="468"/>
      <c r="Q303" s="35"/>
      <c r="R303" s="19"/>
      <c r="S303" s="586"/>
      <c r="T303" s="2"/>
    </row>
    <row r="304" spans="1:21" s="1" customFormat="1" ht="55.5" customHeight="1" x14ac:dyDescent="0.35">
      <c r="A304" s="569"/>
      <c r="B304" s="573"/>
      <c r="C304" s="19"/>
      <c r="D304" s="41"/>
      <c r="E304" s="19"/>
      <c r="F304" s="477"/>
      <c r="G304" s="477"/>
      <c r="H304" s="24"/>
      <c r="I304" s="19"/>
      <c r="J304" s="19" t="s">
        <v>234</v>
      </c>
      <c r="K304" s="455" t="s">
        <v>291</v>
      </c>
      <c r="L304" s="19" t="s">
        <v>158</v>
      </c>
      <c r="M304" s="19">
        <v>374</v>
      </c>
      <c r="N304" s="19">
        <v>374</v>
      </c>
      <c r="O304" s="24">
        <f>IF(N304/M304*100&gt;110,110,N304/M304*100)</f>
        <v>100</v>
      </c>
      <c r="P304" s="468"/>
      <c r="Q304" s="35"/>
      <c r="R304" s="19"/>
      <c r="S304" s="586"/>
      <c r="T304" s="2"/>
    </row>
    <row r="305" spans="1:21" s="1" customFormat="1" ht="55.5" customHeight="1" x14ac:dyDescent="0.35">
      <c r="A305" s="570"/>
      <c r="B305" s="574"/>
      <c r="C305" s="20"/>
      <c r="D305" s="466" t="s">
        <v>644</v>
      </c>
      <c r="E305" s="465"/>
      <c r="F305" s="20"/>
      <c r="G305" s="20"/>
      <c r="H305" s="18"/>
      <c r="I305" s="18">
        <f>H303</f>
        <v>100</v>
      </c>
      <c r="J305" s="128"/>
      <c r="K305" s="466" t="s">
        <v>644</v>
      </c>
      <c r="L305" s="20"/>
      <c r="M305" s="124"/>
      <c r="N305" s="124"/>
      <c r="O305" s="18"/>
      <c r="P305" s="18">
        <f>O304</f>
        <v>100</v>
      </c>
      <c r="Q305" s="18">
        <f>(I305+P305)/2</f>
        <v>100</v>
      </c>
      <c r="R305" s="465" t="s">
        <v>25</v>
      </c>
      <c r="S305" s="587"/>
      <c r="T305" s="2"/>
    </row>
    <row r="306" spans="1:21" s="1" customFormat="1" ht="97.5" customHeight="1" x14ac:dyDescent="0.35">
      <c r="A306" s="567">
        <v>21</v>
      </c>
      <c r="B306" s="571" t="s">
        <v>83</v>
      </c>
      <c r="C306" s="454" t="s">
        <v>13</v>
      </c>
      <c r="D306" s="59" t="s">
        <v>14</v>
      </c>
      <c r="E306" s="454"/>
      <c r="F306" s="454"/>
      <c r="G306" s="454"/>
      <c r="H306" s="35"/>
      <c r="I306" s="35"/>
      <c r="J306" s="454" t="s">
        <v>13</v>
      </c>
      <c r="K306" s="59" t="s">
        <v>14</v>
      </c>
      <c r="L306" s="19"/>
      <c r="M306" s="19"/>
      <c r="N306" s="19"/>
      <c r="O306" s="35"/>
      <c r="P306" s="468"/>
      <c r="Q306" s="35"/>
      <c r="R306" s="19"/>
      <c r="S306" s="584" t="s">
        <v>15</v>
      </c>
      <c r="T306" s="2"/>
    </row>
    <row r="307" spans="1:21" s="1" customFormat="1" ht="33" x14ac:dyDescent="0.35">
      <c r="A307" s="568"/>
      <c r="B307" s="572"/>
      <c r="C307" s="19" t="s">
        <v>16</v>
      </c>
      <c r="D307" s="41" t="s">
        <v>17</v>
      </c>
      <c r="E307" s="19" t="s">
        <v>18</v>
      </c>
      <c r="F307" s="19">
        <v>95</v>
      </c>
      <c r="G307" s="19">
        <v>95</v>
      </c>
      <c r="H307" s="24">
        <f>IF(G307/F307*100&gt;100,100,G307/F307*100)</f>
        <v>100</v>
      </c>
      <c r="I307" s="19"/>
      <c r="J307" s="19" t="s">
        <v>16</v>
      </c>
      <c r="K307" s="41" t="s">
        <v>43</v>
      </c>
      <c r="L307" s="19" t="s">
        <v>20</v>
      </c>
      <c r="M307" s="19">
        <v>62</v>
      </c>
      <c r="N307" s="19">
        <v>62</v>
      </c>
      <c r="O307" s="24">
        <f>IF(N307/M307*100&gt;110,110,N307/M307*100)</f>
        <v>100</v>
      </c>
      <c r="P307" s="468"/>
      <c r="Q307" s="35"/>
      <c r="R307" s="19"/>
      <c r="S307" s="585"/>
      <c r="T307" s="2"/>
    </row>
    <row r="308" spans="1:21" s="1" customFormat="1" ht="33" x14ac:dyDescent="0.35">
      <c r="A308" s="568"/>
      <c r="B308" s="572"/>
      <c r="C308" s="19"/>
      <c r="D308" s="41"/>
      <c r="E308" s="19"/>
      <c r="F308" s="19"/>
      <c r="G308" s="19"/>
      <c r="H308" s="24"/>
      <c r="I308" s="19"/>
      <c r="J308" s="19" t="s">
        <v>21</v>
      </c>
      <c r="K308" s="41" t="s">
        <v>29</v>
      </c>
      <c r="L308" s="19" t="s">
        <v>20</v>
      </c>
      <c r="M308" s="19">
        <v>154</v>
      </c>
      <c r="N308" s="19">
        <v>154</v>
      </c>
      <c r="O308" s="24">
        <f>IF(N308/M308*100&gt;110,110,N308/M308*100)</f>
        <v>100</v>
      </c>
      <c r="P308" s="468"/>
      <c r="Q308" s="35"/>
      <c r="R308" s="19"/>
      <c r="S308" s="585"/>
      <c r="T308" s="2"/>
    </row>
    <row r="309" spans="1:21" s="1" customFormat="1" x14ac:dyDescent="0.35">
      <c r="A309" s="568"/>
      <c r="B309" s="572"/>
      <c r="C309" s="19"/>
      <c r="D309" s="41"/>
      <c r="E309" s="19"/>
      <c r="F309" s="19"/>
      <c r="G309" s="19"/>
      <c r="H309" s="24"/>
      <c r="I309" s="19"/>
      <c r="J309" s="19" t="s">
        <v>23</v>
      </c>
      <c r="K309" s="41" t="s">
        <v>72</v>
      </c>
      <c r="L309" s="19" t="s">
        <v>20</v>
      </c>
      <c r="M309" s="19">
        <v>15</v>
      </c>
      <c r="N309" s="19">
        <v>15</v>
      </c>
      <c r="O309" s="24">
        <f>IF(N309/M309*100&gt;110,110,N309/M309*100)</f>
        <v>100</v>
      </c>
      <c r="P309" s="468"/>
      <c r="Q309" s="35"/>
      <c r="R309" s="19"/>
      <c r="S309" s="585"/>
      <c r="T309" s="2"/>
    </row>
    <row r="310" spans="1:21" s="1" customFormat="1" ht="45" customHeight="1" x14ac:dyDescent="0.35">
      <c r="A310" s="568"/>
      <c r="B310" s="572"/>
      <c r="C310" s="128"/>
      <c r="D310" s="466" t="s">
        <v>644</v>
      </c>
      <c r="E310" s="20"/>
      <c r="F310" s="127"/>
      <c r="G310" s="126"/>
      <c r="H310" s="18"/>
      <c r="I310" s="18">
        <f>H307</f>
        <v>100</v>
      </c>
      <c r="J310" s="20"/>
      <c r="K310" s="466" t="s">
        <v>644</v>
      </c>
      <c r="L310" s="20"/>
      <c r="M310" s="124"/>
      <c r="N310" s="124"/>
      <c r="O310" s="18"/>
      <c r="P310" s="18">
        <f>(O309+O307+O308)/3</f>
        <v>100</v>
      </c>
      <c r="Q310" s="18">
        <f>(I310+P310)/2</f>
        <v>100</v>
      </c>
      <c r="R310" s="465" t="s">
        <v>25</v>
      </c>
      <c r="S310" s="585"/>
      <c r="T310" s="2"/>
      <c r="U310" s="3"/>
    </row>
    <row r="311" spans="1:21" s="1" customFormat="1" ht="51" customHeight="1" x14ac:dyDescent="0.35">
      <c r="A311" s="568"/>
      <c r="B311" s="572"/>
      <c r="C311" s="454" t="s">
        <v>26</v>
      </c>
      <c r="D311" s="59" t="s">
        <v>27</v>
      </c>
      <c r="E311" s="19"/>
      <c r="F311" s="19"/>
      <c r="G311" s="19"/>
      <c r="H311" s="35"/>
      <c r="I311" s="35"/>
      <c r="J311" s="454" t="s">
        <v>26</v>
      </c>
      <c r="K311" s="59" t="s">
        <v>27</v>
      </c>
      <c r="L311" s="19"/>
      <c r="M311" s="476"/>
      <c r="N311" s="476"/>
      <c r="O311" s="35"/>
      <c r="P311" s="468"/>
      <c r="Q311" s="35"/>
      <c r="R311" s="19"/>
      <c r="S311" s="585"/>
      <c r="T311" s="2"/>
    </row>
    <row r="312" spans="1:21" s="1" customFormat="1" ht="33" x14ac:dyDescent="0.35">
      <c r="A312" s="568"/>
      <c r="B312" s="572"/>
      <c r="C312" s="19" t="s">
        <v>28</v>
      </c>
      <c r="D312" s="41" t="s">
        <v>17</v>
      </c>
      <c r="E312" s="19" t="s">
        <v>18</v>
      </c>
      <c r="F312" s="19">
        <v>95</v>
      </c>
      <c r="G312" s="19">
        <v>95</v>
      </c>
      <c r="H312" s="24">
        <f>IF(G312/F312*100&gt;100,100,G312/F312*100)</f>
        <v>100</v>
      </c>
      <c r="I312" s="19"/>
      <c r="J312" s="578" t="s">
        <v>28</v>
      </c>
      <c r="K312" s="575" t="s">
        <v>53</v>
      </c>
      <c r="L312" s="575" t="s">
        <v>20</v>
      </c>
      <c r="M312" s="575">
        <v>231</v>
      </c>
      <c r="N312" s="575">
        <v>231</v>
      </c>
      <c r="O312" s="577">
        <f>IF(N312/M312*100&gt;110,110,N312/M312*100)</f>
        <v>100</v>
      </c>
      <c r="P312" s="588"/>
      <c r="Q312" s="590"/>
      <c r="R312" s="575"/>
      <c r="S312" s="585"/>
      <c r="T312" s="2"/>
    </row>
    <row r="313" spans="1:21" s="1" customFormat="1" ht="33" x14ac:dyDescent="0.35">
      <c r="A313" s="568"/>
      <c r="B313" s="572"/>
      <c r="C313" s="19" t="s">
        <v>30</v>
      </c>
      <c r="D313" s="41" t="s">
        <v>31</v>
      </c>
      <c r="E313" s="19" t="s">
        <v>32</v>
      </c>
      <c r="F313" s="19">
        <v>35</v>
      </c>
      <c r="G313" s="19">
        <v>27.5</v>
      </c>
      <c r="H313" s="24">
        <f>IF(F313/G313*100&gt;100,100,F313/G313*100)</f>
        <v>100</v>
      </c>
      <c r="I313" s="19"/>
      <c r="J313" s="579"/>
      <c r="K313" s="583"/>
      <c r="L313" s="583"/>
      <c r="M313" s="583"/>
      <c r="N313" s="583"/>
      <c r="O313" s="594"/>
      <c r="P313" s="589"/>
      <c r="Q313" s="591"/>
      <c r="R313" s="583"/>
      <c r="S313" s="585"/>
      <c r="T313" s="2"/>
    </row>
    <row r="314" spans="1:21" s="1" customFormat="1" ht="55.5" customHeight="1" x14ac:dyDescent="0.35">
      <c r="A314" s="568"/>
      <c r="B314" s="572"/>
      <c r="C314" s="465"/>
      <c r="D314" s="466" t="s">
        <v>644</v>
      </c>
      <c r="E314" s="465"/>
      <c r="F314" s="20"/>
      <c r="G314" s="20"/>
      <c r="H314" s="18"/>
      <c r="I314" s="18">
        <f>(H313+H312)/2</f>
        <v>100</v>
      </c>
      <c r="J314" s="128"/>
      <c r="K314" s="466" t="s">
        <v>644</v>
      </c>
      <c r="L314" s="20"/>
      <c r="M314" s="124"/>
      <c r="N314" s="124"/>
      <c r="O314" s="18"/>
      <c r="P314" s="18">
        <f>(O312+O313)/1</f>
        <v>100</v>
      </c>
      <c r="Q314" s="18">
        <f>(I314+P314)/2</f>
        <v>100</v>
      </c>
      <c r="R314" s="465" t="s">
        <v>25</v>
      </c>
      <c r="S314" s="585"/>
      <c r="T314" s="2"/>
    </row>
    <row r="315" spans="1:21" s="1" customFormat="1" ht="55.5" customHeight="1" x14ac:dyDescent="0.35">
      <c r="A315" s="569"/>
      <c r="B315" s="573"/>
      <c r="C315" s="454" t="s">
        <v>36</v>
      </c>
      <c r="D315" s="59" t="s">
        <v>130</v>
      </c>
      <c r="E315" s="454"/>
      <c r="F315" s="454"/>
      <c r="G315" s="454"/>
      <c r="H315" s="35"/>
      <c r="I315" s="35"/>
      <c r="J315" s="454" t="s">
        <v>36</v>
      </c>
      <c r="K315" s="59" t="s">
        <v>130</v>
      </c>
      <c r="L315" s="19"/>
      <c r="M315" s="19"/>
      <c r="N315" s="19"/>
      <c r="O315" s="35"/>
      <c r="P315" s="35"/>
      <c r="Q315" s="35"/>
      <c r="R315" s="19"/>
      <c r="S315" s="586"/>
      <c r="T315" s="2"/>
    </row>
    <row r="316" spans="1:21" s="1" customFormat="1" ht="55.5" customHeight="1" x14ac:dyDescent="0.35">
      <c r="A316" s="569"/>
      <c r="B316" s="573"/>
      <c r="C316" s="19" t="s">
        <v>38</v>
      </c>
      <c r="D316" s="41" t="s">
        <v>208</v>
      </c>
      <c r="E316" s="19" t="s">
        <v>18</v>
      </c>
      <c r="F316" s="19">
        <v>100</v>
      </c>
      <c r="G316" s="19">
        <v>100</v>
      </c>
      <c r="H316" s="24">
        <f>IF(G316/F316*100&gt;100,100,G316/F316*100)</f>
        <v>100</v>
      </c>
      <c r="I316" s="19"/>
      <c r="J316" s="19" t="s">
        <v>38</v>
      </c>
      <c r="K316" s="455" t="s">
        <v>223</v>
      </c>
      <c r="L316" s="19" t="s">
        <v>158</v>
      </c>
      <c r="M316" s="19"/>
      <c r="N316" s="19"/>
      <c r="O316" s="24"/>
      <c r="P316" s="468"/>
      <c r="Q316" s="35"/>
      <c r="R316" s="19"/>
      <c r="S316" s="586"/>
      <c r="T316" s="2"/>
    </row>
    <row r="317" spans="1:21" s="1" customFormat="1" ht="55.5" customHeight="1" x14ac:dyDescent="0.35">
      <c r="A317" s="569"/>
      <c r="B317" s="573"/>
      <c r="C317" s="19"/>
      <c r="D317" s="41"/>
      <c r="E317" s="19"/>
      <c r="F317" s="477"/>
      <c r="G317" s="477"/>
      <c r="H317" s="24"/>
      <c r="I317" s="19"/>
      <c r="J317" s="19" t="s">
        <v>234</v>
      </c>
      <c r="K317" s="455" t="s">
        <v>285</v>
      </c>
      <c r="L317" s="19" t="s">
        <v>158</v>
      </c>
      <c r="M317" s="19">
        <v>374</v>
      </c>
      <c r="N317" s="19">
        <v>374</v>
      </c>
      <c r="O317" s="24">
        <f>IF(N317/M317*100&gt;110,110,N317/M317*100)</f>
        <v>100</v>
      </c>
      <c r="P317" s="468"/>
      <c r="Q317" s="35"/>
      <c r="R317" s="19"/>
      <c r="S317" s="586"/>
      <c r="T317" s="2"/>
    </row>
    <row r="318" spans="1:21" s="1" customFormat="1" ht="55.5" customHeight="1" x14ac:dyDescent="0.35">
      <c r="A318" s="570"/>
      <c r="B318" s="574"/>
      <c r="C318" s="20"/>
      <c r="D318" s="466" t="s">
        <v>644</v>
      </c>
      <c r="E318" s="465"/>
      <c r="F318" s="20"/>
      <c r="G318" s="20"/>
      <c r="H318" s="18"/>
      <c r="I318" s="18">
        <f>H316</f>
        <v>100</v>
      </c>
      <c r="J318" s="128"/>
      <c r="K318" s="466" t="s">
        <v>644</v>
      </c>
      <c r="L318" s="20"/>
      <c r="M318" s="124"/>
      <c r="N318" s="124"/>
      <c r="O318" s="18"/>
      <c r="P318" s="18">
        <f>O317</f>
        <v>100</v>
      </c>
      <c r="Q318" s="18">
        <f>(I318+P318)/2</f>
        <v>100</v>
      </c>
      <c r="R318" s="465" t="s">
        <v>25</v>
      </c>
      <c r="S318" s="587"/>
      <c r="T318" s="2"/>
    </row>
    <row r="319" spans="1:21" s="1" customFormat="1" ht="71.25" customHeight="1" x14ac:dyDescent="0.35">
      <c r="A319" s="567">
        <v>22</v>
      </c>
      <c r="B319" s="571" t="s">
        <v>84</v>
      </c>
      <c r="C319" s="454" t="s">
        <v>13</v>
      </c>
      <c r="D319" s="59" t="s">
        <v>14</v>
      </c>
      <c r="E319" s="454"/>
      <c r="F319" s="454"/>
      <c r="G319" s="454"/>
      <c r="H319" s="35"/>
      <c r="I319" s="35"/>
      <c r="J319" s="454" t="s">
        <v>13</v>
      </c>
      <c r="K319" s="59" t="s">
        <v>14</v>
      </c>
      <c r="L319" s="19"/>
      <c r="M319" s="19"/>
      <c r="N319" s="19"/>
      <c r="O319" s="35"/>
      <c r="P319" s="468"/>
      <c r="Q319" s="35"/>
      <c r="R319" s="19"/>
      <c r="S319" s="584" t="s">
        <v>15</v>
      </c>
      <c r="T319" s="2"/>
    </row>
    <row r="320" spans="1:21" s="1" customFormat="1" ht="82.5" customHeight="1" x14ac:dyDescent="0.35">
      <c r="A320" s="568"/>
      <c r="B320" s="572"/>
      <c r="C320" s="19" t="s">
        <v>16</v>
      </c>
      <c r="D320" s="41" t="s">
        <v>17</v>
      </c>
      <c r="E320" s="19" t="s">
        <v>18</v>
      </c>
      <c r="F320" s="19">
        <v>95</v>
      </c>
      <c r="G320" s="19">
        <v>96</v>
      </c>
      <c r="H320" s="24">
        <f>IF(G320/F320*100&gt;100,100,G320/F320*100)</f>
        <v>100</v>
      </c>
      <c r="I320" s="19"/>
      <c r="J320" s="19" t="s">
        <v>16</v>
      </c>
      <c r="K320" s="41" t="s">
        <v>43</v>
      </c>
      <c r="L320" s="19" t="s">
        <v>20</v>
      </c>
      <c r="M320" s="19">
        <v>131</v>
      </c>
      <c r="N320" s="19">
        <v>131</v>
      </c>
      <c r="O320" s="24">
        <f>IF(N320/M320*100&gt;110,110,N320/M320*100)</f>
        <v>100</v>
      </c>
      <c r="P320" s="468"/>
      <c r="Q320" s="35"/>
      <c r="R320" s="19"/>
      <c r="S320" s="585"/>
      <c r="T320" s="2"/>
    </row>
    <row r="321" spans="1:21" s="1" customFormat="1" ht="62.25" customHeight="1" x14ac:dyDescent="0.35">
      <c r="A321" s="568"/>
      <c r="B321" s="572"/>
      <c r="C321" s="19"/>
      <c r="D321" s="41"/>
      <c r="E321" s="19"/>
      <c r="F321" s="19"/>
      <c r="G321" s="19"/>
      <c r="H321" s="24"/>
      <c r="I321" s="19"/>
      <c r="J321" s="19" t="s">
        <v>21</v>
      </c>
      <c r="K321" s="41" t="s">
        <v>29</v>
      </c>
      <c r="L321" s="19" t="s">
        <v>20</v>
      </c>
      <c r="M321" s="19">
        <v>401</v>
      </c>
      <c r="N321" s="19">
        <v>401</v>
      </c>
      <c r="O321" s="24">
        <f>IF(N321/M321*100&gt;110,110,N321/M321*100)</f>
        <v>100</v>
      </c>
      <c r="P321" s="468"/>
      <c r="Q321" s="35"/>
      <c r="R321" s="19"/>
      <c r="S321" s="585"/>
      <c r="T321" s="2"/>
    </row>
    <row r="322" spans="1:21" s="1" customFormat="1" ht="62.25" customHeight="1" x14ac:dyDescent="0.35">
      <c r="A322" s="568"/>
      <c r="B322" s="572"/>
      <c r="C322" s="19"/>
      <c r="D322" s="41"/>
      <c r="E322" s="19"/>
      <c r="F322" s="19"/>
      <c r="G322" s="19"/>
      <c r="H322" s="24"/>
      <c r="I322" s="19"/>
      <c r="J322" s="19" t="s">
        <v>23</v>
      </c>
      <c r="K322" s="41" t="s">
        <v>44</v>
      </c>
      <c r="L322" s="19" t="s">
        <v>20</v>
      </c>
      <c r="M322" s="19">
        <v>34</v>
      </c>
      <c r="N322" s="19">
        <v>34</v>
      </c>
      <c r="O322" s="24">
        <f>IF(N322/M322*100&gt;110,110,N322/M322*100)</f>
        <v>100</v>
      </c>
      <c r="P322" s="468"/>
      <c r="Q322" s="35"/>
      <c r="R322" s="19"/>
      <c r="S322" s="585"/>
      <c r="T322" s="2"/>
    </row>
    <row r="323" spans="1:21" s="1" customFormat="1" ht="54.75" customHeight="1" x14ac:dyDescent="0.35">
      <c r="A323" s="568"/>
      <c r="B323" s="572"/>
      <c r="C323" s="128"/>
      <c r="D323" s="466" t="s">
        <v>644</v>
      </c>
      <c r="E323" s="20"/>
      <c r="F323" s="127"/>
      <c r="G323" s="126"/>
      <c r="H323" s="18"/>
      <c r="I323" s="18">
        <f>H320</f>
        <v>100</v>
      </c>
      <c r="J323" s="20"/>
      <c r="K323" s="466" t="s">
        <v>644</v>
      </c>
      <c r="L323" s="20"/>
      <c r="M323" s="124"/>
      <c r="N323" s="124"/>
      <c r="O323" s="18"/>
      <c r="P323" s="18">
        <f>(O322+O320+O321)/3</f>
        <v>100</v>
      </c>
      <c r="Q323" s="18">
        <f>(I323+P323)/2</f>
        <v>100</v>
      </c>
      <c r="R323" s="465" t="s">
        <v>25</v>
      </c>
      <c r="S323" s="585"/>
      <c r="T323" s="2"/>
      <c r="U323" s="3"/>
    </row>
    <row r="324" spans="1:21" s="1" customFormat="1" ht="42" customHeight="1" x14ac:dyDescent="0.35">
      <c r="A324" s="568"/>
      <c r="B324" s="572"/>
      <c r="C324" s="454" t="s">
        <v>26</v>
      </c>
      <c r="D324" s="59" t="s">
        <v>27</v>
      </c>
      <c r="E324" s="19"/>
      <c r="F324" s="19"/>
      <c r="G324" s="19"/>
      <c r="H324" s="35"/>
      <c r="I324" s="35"/>
      <c r="J324" s="454" t="s">
        <v>26</v>
      </c>
      <c r="K324" s="59" t="s">
        <v>27</v>
      </c>
      <c r="L324" s="19"/>
      <c r="M324" s="476"/>
      <c r="N324" s="476"/>
      <c r="O324" s="35"/>
      <c r="P324" s="468"/>
      <c r="Q324" s="35"/>
      <c r="R324" s="19"/>
      <c r="S324" s="585"/>
      <c r="T324" s="2"/>
    </row>
    <row r="325" spans="1:21" s="1" customFormat="1" ht="33" x14ac:dyDescent="0.35">
      <c r="A325" s="568"/>
      <c r="B325" s="572"/>
      <c r="C325" s="19" t="s">
        <v>28</v>
      </c>
      <c r="D325" s="41" t="s">
        <v>17</v>
      </c>
      <c r="E325" s="19" t="s">
        <v>18</v>
      </c>
      <c r="F325" s="19">
        <v>95</v>
      </c>
      <c r="G325" s="19">
        <v>96.1</v>
      </c>
      <c r="H325" s="24">
        <f>IF(G325/F325*100&gt;100,100,G325/F325*100)</f>
        <v>100</v>
      </c>
      <c r="I325" s="19"/>
      <c r="J325" s="129" t="s">
        <v>28</v>
      </c>
      <c r="K325" s="41" t="s">
        <v>53</v>
      </c>
      <c r="L325" s="19" t="s">
        <v>20</v>
      </c>
      <c r="M325" s="19">
        <v>560</v>
      </c>
      <c r="N325" s="19">
        <v>560</v>
      </c>
      <c r="O325" s="24">
        <f>IF(N325/M325*100&gt;110,110,N325/M325*100)</f>
        <v>100</v>
      </c>
      <c r="P325" s="468"/>
      <c r="Q325" s="35"/>
      <c r="R325" s="19"/>
      <c r="S325" s="585"/>
      <c r="T325" s="2"/>
    </row>
    <row r="326" spans="1:21" s="1" customFormat="1" ht="33" x14ac:dyDescent="0.35">
      <c r="A326" s="568"/>
      <c r="B326" s="572"/>
      <c r="C326" s="19" t="s">
        <v>30</v>
      </c>
      <c r="D326" s="41" t="s">
        <v>31</v>
      </c>
      <c r="E326" s="19" t="s">
        <v>32</v>
      </c>
      <c r="F326" s="19">
        <v>35</v>
      </c>
      <c r="G326" s="19">
        <v>21.8</v>
      </c>
      <c r="H326" s="24">
        <f>IF(F326/G326*100&gt;100,100,F326/G326*100)</f>
        <v>100</v>
      </c>
      <c r="I326" s="19"/>
      <c r="J326" s="129" t="s">
        <v>30</v>
      </c>
      <c r="K326" s="41" t="s">
        <v>33</v>
      </c>
      <c r="L326" s="19" t="s">
        <v>20</v>
      </c>
      <c r="M326" s="19">
        <v>2</v>
      </c>
      <c r="N326" s="19">
        <v>2</v>
      </c>
      <c r="O326" s="24">
        <f>IF(N326/M326*100&gt;110,110,N326/M326*100)</f>
        <v>100</v>
      </c>
      <c r="P326" s="468"/>
      <c r="Q326" s="35"/>
      <c r="R326" s="19"/>
      <c r="S326" s="585"/>
      <c r="T326" s="2"/>
    </row>
    <row r="327" spans="1:21" s="1" customFormat="1" x14ac:dyDescent="0.35">
      <c r="A327" s="568"/>
      <c r="B327" s="572"/>
      <c r="C327" s="19"/>
      <c r="D327" s="41"/>
      <c r="E327" s="19"/>
      <c r="F327" s="19"/>
      <c r="G327" s="19"/>
      <c r="H327" s="24"/>
      <c r="I327" s="19"/>
      <c r="J327" s="129" t="s">
        <v>34</v>
      </c>
      <c r="K327" s="41" t="s">
        <v>35</v>
      </c>
      <c r="L327" s="19" t="s">
        <v>20</v>
      </c>
      <c r="M327" s="19">
        <v>4</v>
      </c>
      <c r="N327" s="19">
        <v>4</v>
      </c>
      <c r="O327" s="24">
        <f>IF(N327/M327*100&gt;110,110,N327/M327*100)</f>
        <v>100</v>
      </c>
      <c r="P327" s="468"/>
      <c r="Q327" s="35"/>
      <c r="R327" s="19"/>
      <c r="S327" s="585"/>
      <c r="T327" s="2"/>
    </row>
    <row r="328" spans="1:21" s="1" customFormat="1" ht="54.75" customHeight="1" x14ac:dyDescent="0.35">
      <c r="A328" s="568"/>
      <c r="B328" s="572"/>
      <c r="C328" s="128"/>
      <c r="D328" s="466" t="s">
        <v>644</v>
      </c>
      <c r="E328" s="20"/>
      <c r="F328" s="127"/>
      <c r="G328" s="126"/>
      <c r="H328" s="18"/>
      <c r="I328" s="18">
        <f>(H325+H326)/2</f>
        <v>100</v>
      </c>
      <c r="J328" s="20"/>
      <c r="K328" s="466" t="s">
        <v>644</v>
      </c>
      <c r="L328" s="20"/>
      <c r="M328" s="124"/>
      <c r="N328" s="124"/>
      <c r="O328" s="18"/>
      <c r="P328" s="18">
        <f>(O327+O325+O326)/3</f>
        <v>100</v>
      </c>
      <c r="Q328" s="18">
        <f>(I328+P328)/2</f>
        <v>100</v>
      </c>
      <c r="R328" s="465" t="s">
        <v>25</v>
      </c>
      <c r="S328" s="585"/>
      <c r="T328" s="2"/>
      <c r="U328" s="3"/>
    </row>
    <row r="329" spans="1:21" s="1" customFormat="1" ht="54.75" customHeight="1" x14ac:dyDescent="0.35">
      <c r="A329" s="569"/>
      <c r="B329" s="573"/>
      <c r="C329" s="454" t="s">
        <v>36</v>
      </c>
      <c r="D329" s="59" t="s">
        <v>130</v>
      </c>
      <c r="E329" s="454"/>
      <c r="F329" s="454"/>
      <c r="G329" s="454"/>
      <c r="H329" s="35"/>
      <c r="I329" s="35"/>
      <c r="J329" s="454" t="s">
        <v>36</v>
      </c>
      <c r="K329" s="59" t="s">
        <v>130</v>
      </c>
      <c r="L329" s="19"/>
      <c r="M329" s="19"/>
      <c r="N329" s="19"/>
      <c r="O329" s="35"/>
      <c r="P329" s="35"/>
      <c r="Q329" s="35"/>
      <c r="R329" s="19"/>
      <c r="S329" s="586"/>
      <c r="T329" s="2"/>
      <c r="U329" s="3"/>
    </row>
    <row r="330" spans="1:21" s="1" customFormat="1" ht="54.75" customHeight="1" x14ac:dyDescent="0.35">
      <c r="A330" s="569"/>
      <c r="B330" s="573"/>
      <c r="C330" s="19" t="s">
        <v>38</v>
      </c>
      <c r="D330" s="41" t="s">
        <v>208</v>
      </c>
      <c r="E330" s="19" t="s">
        <v>18</v>
      </c>
      <c r="F330" s="19">
        <v>100</v>
      </c>
      <c r="G330" s="19">
        <v>100</v>
      </c>
      <c r="H330" s="24">
        <f>IF(G330/F330*100&gt;100,100,G330/F330*100)</f>
        <v>100</v>
      </c>
      <c r="I330" s="19"/>
      <c r="J330" s="19" t="s">
        <v>38</v>
      </c>
      <c r="K330" s="455" t="s">
        <v>223</v>
      </c>
      <c r="L330" s="19" t="s">
        <v>158</v>
      </c>
      <c r="M330" s="19"/>
      <c r="N330" s="19"/>
      <c r="O330" s="24"/>
      <c r="P330" s="468"/>
      <c r="Q330" s="35"/>
      <c r="R330" s="19"/>
      <c r="S330" s="586"/>
      <c r="T330" s="2"/>
      <c r="U330" s="3"/>
    </row>
    <row r="331" spans="1:21" s="1" customFormat="1" ht="54.75" customHeight="1" x14ac:dyDescent="0.35">
      <c r="A331" s="569"/>
      <c r="B331" s="573"/>
      <c r="C331" s="19"/>
      <c r="D331" s="41"/>
      <c r="E331" s="19"/>
      <c r="F331" s="477"/>
      <c r="G331" s="477"/>
      <c r="H331" s="24"/>
      <c r="I331" s="19"/>
      <c r="J331" s="19" t="s">
        <v>234</v>
      </c>
      <c r="K331" s="455" t="s">
        <v>285</v>
      </c>
      <c r="L331" s="19" t="s">
        <v>158</v>
      </c>
      <c r="M331" s="19">
        <v>374</v>
      </c>
      <c r="N331" s="19">
        <v>374</v>
      </c>
      <c r="O331" s="24">
        <f>IF(N331/M331*100&gt;110,110,N331/M331*100)</f>
        <v>100</v>
      </c>
      <c r="P331" s="468"/>
      <c r="Q331" s="35"/>
      <c r="R331" s="19"/>
      <c r="S331" s="586"/>
      <c r="T331" s="2"/>
      <c r="U331" s="3"/>
    </row>
    <row r="332" spans="1:21" s="1" customFormat="1" ht="44.25" customHeight="1" x14ac:dyDescent="0.35">
      <c r="A332" s="570"/>
      <c r="B332" s="574"/>
      <c r="C332" s="20"/>
      <c r="D332" s="466" t="s">
        <v>644</v>
      </c>
      <c r="E332" s="465"/>
      <c r="F332" s="20"/>
      <c r="G332" s="20"/>
      <c r="H332" s="18"/>
      <c r="I332" s="18">
        <f>H330</f>
        <v>100</v>
      </c>
      <c r="J332" s="128"/>
      <c r="K332" s="466" t="s">
        <v>644</v>
      </c>
      <c r="L332" s="20"/>
      <c r="M332" s="124"/>
      <c r="N332" s="124"/>
      <c r="O332" s="18"/>
      <c r="P332" s="18">
        <f>O331</f>
        <v>100</v>
      </c>
      <c r="Q332" s="18">
        <f>(I332+P332)/2</f>
        <v>100</v>
      </c>
      <c r="R332" s="465" t="s">
        <v>25</v>
      </c>
      <c r="S332" s="587"/>
      <c r="T332" s="2"/>
      <c r="U332" s="3"/>
    </row>
    <row r="333" spans="1:21" s="1" customFormat="1" ht="69" customHeight="1" x14ac:dyDescent="0.35">
      <c r="A333" s="567">
        <v>23</v>
      </c>
      <c r="B333" s="571" t="s">
        <v>85</v>
      </c>
      <c r="C333" s="454" t="s">
        <v>13</v>
      </c>
      <c r="D333" s="59" t="s">
        <v>14</v>
      </c>
      <c r="E333" s="454"/>
      <c r="F333" s="454"/>
      <c r="G333" s="454"/>
      <c r="H333" s="35"/>
      <c r="I333" s="35"/>
      <c r="J333" s="454" t="s">
        <v>13</v>
      </c>
      <c r="K333" s="59" t="s">
        <v>14</v>
      </c>
      <c r="L333" s="19"/>
      <c r="M333" s="19"/>
      <c r="N333" s="19"/>
      <c r="O333" s="35"/>
      <c r="P333" s="468"/>
      <c r="Q333" s="35"/>
      <c r="R333" s="19"/>
      <c r="S333" s="584" t="s">
        <v>15</v>
      </c>
      <c r="T333" s="2"/>
    </row>
    <row r="334" spans="1:21" s="1" customFormat="1" ht="33" x14ac:dyDescent="0.35">
      <c r="A334" s="568"/>
      <c r="B334" s="572"/>
      <c r="C334" s="19" t="s">
        <v>16</v>
      </c>
      <c r="D334" s="41" t="s">
        <v>17</v>
      </c>
      <c r="E334" s="19" t="s">
        <v>18</v>
      </c>
      <c r="F334" s="19">
        <v>95</v>
      </c>
      <c r="G334" s="19">
        <v>96</v>
      </c>
      <c r="H334" s="24">
        <f>IF(G334/F334*100&gt;100,100,G334/F334*100)</f>
        <v>100</v>
      </c>
      <c r="I334" s="19"/>
      <c r="J334" s="19" t="s">
        <v>16</v>
      </c>
      <c r="K334" s="41" t="s">
        <v>43</v>
      </c>
      <c r="L334" s="19" t="s">
        <v>20</v>
      </c>
      <c r="M334" s="19">
        <v>44</v>
      </c>
      <c r="N334" s="19">
        <v>44</v>
      </c>
      <c r="O334" s="24">
        <f>IF(N334/M334*100&gt;110,110,N334/M334*100)</f>
        <v>100</v>
      </c>
      <c r="P334" s="468"/>
      <c r="Q334" s="35"/>
      <c r="R334" s="19"/>
      <c r="S334" s="585"/>
      <c r="T334" s="2"/>
    </row>
    <row r="335" spans="1:21" s="1" customFormat="1" ht="33" x14ac:dyDescent="0.35">
      <c r="A335" s="568"/>
      <c r="B335" s="572"/>
      <c r="C335" s="19"/>
      <c r="D335" s="41"/>
      <c r="E335" s="19"/>
      <c r="F335" s="19"/>
      <c r="G335" s="19"/>
      <c r="H335" s="24"/>
      <c r="I335" s="19"/>
      <c r="J335" s="19" t="s">
        <v>21</v>
      </c>
      <c r="K335" s="41" t="s">
        <v>29</v>
      </c>
      <c r="L335" s="19" t="s">
        <v>20</v>
      </c>
      <c r="M335" s="19">
        <v>119</v>
      </c>
      <c r="N335" s="19">
        <v>119</v>
      </c>
      <c r="O335" s="24">
        <f>IF(N335/M335*100&gt;110,110,N335/M335*100)</f>
        <v>100</v>
      </c>
      <c r="P335" s="468"/>
      <c r="Q335" s="35"/>
      <c r="R335" s="19"/>
      <c r="S335" s="585"/>
      <c r="T335" s="2"/>
    </row>
    <row r="336" spans="1:21" s="1" customFormat="1" ht="63.75" customHeight="1" x14ac:dyDescent="0.35">
      <c r="A336" s="568"/>
      <c r="B336" s="572"/>
      <c r="C336" s="19"/>
      <c r="D336" s="41"/>
      <c r="E336" s="19"/>
      <c r="F336" s="19"/>
      <c r="G336" s="19"/>
      <c r="H336" s="24"/>
      <c r="I336" s="19"/>
      <c r="J336" s="19" t="s">
        <v>23</v>
      </c>
      <c r="K336" s="41" t="s">
        <v>44</v>
      </c>
      <c r="L336" s="19" t="s">
        <v>20</v>
      </c>
      <c r="M336" s="19">
        <v>21</v>
      </c>
      <c r="N336" s="19">
        <v>21</v>
      </c>
      <c r="O336" s="24">
        <f>IF(N336/M336*100&gt;110,110,N336/M336*100)</f>
        <v>100</v>
      </c>
      <c r="P336" s="468"/>
      <c r="Q336" s="35"/>
      <c r="R336" s="19"/>
      <c r="S336" s="585"/>
      <c r="T336" s="2"/>
    </row>
    <row r="337" spans="1:21" s="1" customFormat="1" ht="54.75" customHeight="1" x14ac:dyDescent="0.35">
      <c r="A337" s="568"/>
      <c r="B337" s="572"/>
      <c r="C337" s="128"/>
      <c r="D337" s="466" t="s">
        <v>644</v>
      </c>
      <c r="E337" s="20"/>
      <c r="F337" s="127"/>
      <c r="G337" s="126"/>
      <c r="H337" s="18"/>
      <c r="I337" s="18">
        <f>H334</f>
        <v>100</v>
      </c>
      <c r="J337" s="20"/>
      <c r="K337" s="466" t="s">
        <v>644</v>
      </c>
      <c r="L337" s="20"/>
      <c r="M337" s="124"/>
      <c r="N337" s="124"/>
      <c r="O337" s="18"/>
      <c r="P337" s="18">
        <f>(O336+O334+O335)/3</f>
        <v>100</v>
      </c>
      <c r="Q337" s="18">
        <f>(I337+P337)/2</f>
        <v>100</v>
      </c>
      <c r="R337" s="465" t="s">
        <v>25</v>
      </c>
      <c r="S337" s="585"/>
      <c r="T337" s="2"/>
      <c r="U337" s="3"/>
    </row>
    <row r="338" spans="1:21" s="1" customFormat="1" ht="39.75" customHeight="1" x14ac:dyDescent="0.35">
      <c r="A338" s="568"/>
      <c r="B338" s="572"/>
      <c r="C338" s="454" t="s">
        <v>26</v>
      </c>
      <c r="D338" s="59" t="s">
        <v>27</v>
      </c>
      <c r="E338" s="19"/>
      <c r="F338" s="19"/>
      <c r="G338" s="19"/>
      <c r="H338" s="35"/>
      <c r="I338" s="35"/>
      <c r="J338" s="454" t="s">
        <v>26</v>
      </c>
      <c r="K338" s="59" t="s">
        <v>27</v>
      </c>
      <c r="L338" s="19"/>
      <c r="M338" s="476"/>
      <c r="N338" s="476"/>
      <c r="O338" s="35"/>
      <c r="P338" s="468"/>
      <c r="Q338" s="35"/>
      <c r="R338" s="19"/>
      <c r="S338" s="585"/>
      <c r="T338" s="2"/>
    </row>
    <row r="339" spans="1:21" s="1" customFormat="1" ht="33" x14ac:dyDescent="0.35">
      <c r="A339" s="568"/>
      <c r="B339" s="572"/>
      <c r="C339" s="19" t="s">
        <v>28</v>
      </c>
      <c r="D339" s="41" t="s">
        <v>17</v>
      </c>
      <c r="E339" s="19" t="s">
        <v>18</v>
      </c>
      <c r="F339" s="19">
        <v>95</v>
      </c>
      <c r="G339" s="19">
        <v>97</v>
      </c>
      <c r="H339" s="24">
        <f>IF(G339/F339*100&gt;100,100,G339/F339*100)</f>
        <v>100</v>
      </c>
      <c r="I339" s="19"/>
      <c r="J339" s="578" t="s">
        <v>28</v>
      </c>
      <c r="K339" s="580" t="s">
        <v>53</v>
      </c>
      <c r="L339" s="575" t="s">
        <v>20</v>
      </c>
      <c r="M339" s="575">
        <v>183</v>
      </c>
      <c r="N339" s="575">
        <v>183</v>
      </c>
      <c r="O339" s="577">
        <f>IF(N339/M339*100&gt;110,110,N339/M339*100)</f>
        <v>100</v>
      </c>
      <c r="P339" s="603"/>
      <c r="Q339" s="590"/>
      <c r="R339" s="575"/>
      <c r="S339" s="585"/>
      <c r="T339" s="2"/>
    </row>
    <row r="340" spans="1:21" s="1" customFormat="1" ht="33" x14ac:dyDescent="0.35">
      <c r="A340" s="568"/>
      <c r="B340" s="572"/>
      <c r="C340" s="19" t="s">
        <v>30</v>
      </c>
      <c r="D340" s="41" t="s">
        <v>31</v>
      </c>
      <c r="E340" s="19" t="s">
        <v>32</v>
      </c>
      <c r="F340" s="19">
        <v>35</v>
      </c>
      <c r="G340" s="19">
        <v>29.1</v>
      </c>
      <c r="H340" s="24">
        <f>IF(F340/G340*100&gt;100,100,F340/G340*100)</f>
        <v>100</v>
      </c>
      <c r="I340" s="19"/>
      <c r="J340" s="576"/>
      <c r="K340" s="601"/>
      <c r="L340" s="576"/>
      <c r="M340" s="576"/>
      <c r="N340" s="576"/>
      <c r="O340" s="576"/>
      <c r="P340" s="604"/>
      <c r="Q340" s="576"/>
      <c r="R340" s="576"/>
      <c r="S340" s="585"/>
      <c r="T340" s="2"/>
    </row>
    <row r="341" spans="1:21" s="1" customFormat="1" x14ac:dyDescent="0.35">
      <c r="A341" s="568"/>
      <c r="B341" s="572"/>
      <c r="C341" s="19"/>
      <c r="D341" s="41"/>
      <c r="E341" s="19"/>
      <c r="F341" s="19"/>
      <c r="G341" s="19"/>
      <c r="H341" s="24"/>
      <c r="I341" s="19"/>
      <c r="J341" s="129" t="s">
        <v>34</v>
      </c>
      <c r="K341" s="41" t="s">
        <v>35</v>
      </c>
      <c r="L341" s="19" t="s">
        <v>20</v>
      </c>
      <c r="M341" s="19">
        <v>1</v>
      </c>
      <c r="N341" s="19">
        <v>1</v>
      </c>
      <c r="O341" s="24">
        <f>IF(N341/M341*100&gt;110,110,N341/M341*100)</f>
        <v>100</v>
      </c>
      <c r="P341" s="468"/>
      <c r="Q341" s="35"/>
      <c r="R341" s="19"/>
      <c r="S341" s="585"/>
      <c r="T341" s="2"/>
    </row>
    <row r="342" spans="1:21" s="1" customFormat="1" ht="54.75" customHeight="1" x14ac:dyDescent="0.35">
      <c r="A342" s="568"/>
      <c r="B342" s="572"/>
      <c r="C342" s="128"/>
      <c r="D342" s="466" t="s">
        <v>644</v>
      </c>
      <c r="E342" s="20"/>
      <c r="F342" s="127"/>
      <c r="G342" s="126"/>
      <c r="H342" s="18"/>
      <c r="I342" s="18">
        <f>(H339+H340)/2</f>
        <v>100</v>
      </c>
      <c r="J342" s="20"/>
      <c r="K342" s="466" t="s">
        <v>644</v>
      </c>
      <c r="L342" s="20"/>
      <c r="M342" s="124"/>
      <c r="N342" s="124"/>
      <c r="O342" s="18"/>
      <c r="P342" s="18">
        <f>(O339+O341)/2</f>
        <v>100</v>
      </c>
      <c r="Q342" s="18">
        <f>(I342+P342)/2</f>
        <v>100</v>
      </c>
      <c r="R342" s="465" t="s">
        <v>25</v>
      </c>
      <c r="S342" s="585"/>
      <c r="T342" s="2"/>
      <c r="U342" s="3"/>
    </row>
    <row r="343" spans="1:21" s="1" customFormat="1" ht="54.75" customHeight="1" x14ac:dyDescent="0.35">
      <c r="A343" s="568"/>
      <c r="B343" s="573"/>
      <c r="C343" s="454" t="s">
        <v>36</v>
      </c>
      <c r="D343" s="59" t="s">
        <v>130</v>
      </c>
      <c r="E343" s="454"/>
      <c r="F343" s="454"/>
      <c r="G343" s="454"/>
      <c r="H343" s="35"/>
      <c r="I343" s="35"/>
      <c r="J343" s="454" t="s">
        <v>36</v>
      </c>
      <c r="K343" s="59" t="s">
        <v>130</v>
      </c>
      <c r="L343" s="19"/>
      <c r="M343" s="19"/>
      <c r="N343" s="19"/>
      <c r="O343" s="35"/>
      <c r="P343" s="35"/>
      <c r="Q343" s="35"/>
      <c r="R343" s="19"/>
      <c r="S343" s="586"/>
      <c r="T343" s="2"/>
      <c r="U343" s="3"/>
    </row>
    <row r="344" spans="1:21" s="1" customFormat="1" ht="54.75" customHeight="1" x14ac:dyDescent="0.35">
      <c r="A344" s="568"/>
      <c r="B344" s="573"/>
      <c r="C344" s="19" t="s">
        <v>38</v>
      </c>
      <c r="D344" s="41" t="s">
        <v>208</v>
      </c>
      <c r="E344" s="19" t="s">
        <v>18</v>
      </c>
      <c r="F344" s="19">
        <v>100</v>
      </c>
      <c r="G344" s="19">
        <v>100</v>
      </c>
      <c r="H344" s="24">
        <f>IF(G344/F344*100&gt;100,100,G344/F344*100)</f>
        <v>100</v>
      </c>
      <c r="I344" s="19"/>
      <c r="J344" s="19" t="s">
        <v>38</v>
      </c>
      <c r="K344" s="455" t="s">
        <v>223</v>
      </c>
      <c r="L344" s="19" t="s">
        <v>158</v>
      </c>
      <c r="M344" s="19"/>
      <c r="N344" s="19"/>
      <c r="O344" s="24"/>
      <c r="P344" s="468"/>
      <c r="Q344" s="35"/>
      <c r="R344" s="19"/>
      <c r="S344" s="586"/>
      <c r="T344" s="2"/>
      <c r="U344" s="3"/>
    </row>
    <row r="345" spans="1:21" s="1" customFormat="1" ht="54.75" customHeight="1" x14ac:dyDescent="0.35">
      <c r="A345" s="568"/>
      <c r="B345" s="573"/>
      <c r="C345" s="19"/>
      <c r="D345" s="41"/>
      <c r="E345" s="19"/>
      <c r="F345" s="477"/>
      <c r="G345" s="477"/>
      <c r="H345" s="24"/>
      <c r="I345" s="19"/>
      <c r="J345" s="19" t="s">
        <v>234</v>
      </c>
      <c r="K345" s="455" t="s">
        <v>285</v>
      </c>
      <c r="L345" s="19" t="s">
        <v>158</v>
      </c>
      <c r="M345" s="19">
        <v>374</v>
      </c>
      <c r="N345" s="19">
        <v>374</v>
      </c>
      <c r="O345" s="24">
        <f>IF(N345/M345*100&gt;110,110,N345/M345*100)</f>
        <v>100</v>
      </c>
      <c r="P345" s="468"/>
      <c r="Q345" s="35"/>
      <c r="R345" s="19"/>
      <c r="S345" s="586"/>
      <c r="T345" s="2"/>
      <c r="U345" s="3"/>
    </row>
    <row r="346" spans="1:21" s="1" customFormat="1" ht="51.75" customHeight="1" x14ac:dyDescent="0.35">
      <c r="A346" s="582"/>
      <c r="B346" s="574"/>
      <c r="C346" s="20"/>
      <c r="D346" s="466" t="s">
        <v>644</v>
      </c>
      <c r="E346" s="465"/>
      <c r="F346" s="20"/>
      <c r="G346" s="20"/>
      <c r="H346" s="18"/>
      <c r="I346" s="18">
        <f>H344</f>
        <v>100</v>
      </c>
      <c r="J346" s="128"/>
      <c r="K346" s="466" t="s">
        <v>644</v>
      </c>
      <c r="L346" s="20"/>
      <c r="M346" s="124"/>
      <c r="N346" s="124"/>
      <c r="O346" s="18"/>
      <c r="P346" s="18">
        <f>O345</f>
        <v>100</v>
      </c>
      <c r="Q346" s="18">
        <f>(I346+P346)/2</f>
        <v>100</v>
      </c>
      <c r="R346" s="465" t="s">
        <v>25</v>
      </c>
      <c r="S346" s="587"/>
      <c r="T346" s="2"/>
      <c r="U346" s="3"/>
    </row>
    <row r="347" spans="1:21" s="1" customFormat="1" ht="70.5" customHeight="1" x14ac:dyDescent="0.35">
      <c r="A347" s="567">
        <v>24</v>
      </c>
      <c r="B347" s="571" t="s">
        <v>86</v>
      </c>
      <c r="C347" s="454" t="s">
        <v>13</v>
      </c>
      <c r="D347" s="59" t="s">
        <v>14</v>
      </c>
      <c r="E347" s="454"/>
      <c r="F347" s="454"/>
      <c r="G347" s="454"/>
      <c r="H347" s="35"/>
      <c r="I347" s="35"/>
      <c r="J347" s="454" t="s">
        <v>13</v>
      </c>
      <c r="K347" s="59" t="s">
        <v>14</v>
      </c>
      <c r="L347" s="19"/>
      <c r="M347" s="19"/>
      <c r="N347" s="19"/>
      <c r="O347" s="35"/>
      <c r="P347" s="468"/>
      <c r="Q347" s="35"/>
      <c r="R347" s="19"/>
      <c r="S347" s="584" t="s">
        <v>15</v>
      </c>
      <c r="T347" s="2"/>
    </row>
    <row r="348" spans="1:21" s="1" customFormat="1" ht="69.75" customHeight="1" x14ac:dyDescent="0.35">
      <c r="A348" s="568"/>
      <c r="B348" s="572"/>
      <c r="C348" s="19" t="s">
        <v>16</v>
      </c>
      <c r="D348" s="41" t="s">
        <v>17</v>
      </c>
      <c r="E348" s="19" t="s">
        <v>18</v>
      </c>
      <c r="F348" s="19">
        <v>95</v>
      </c>
      <c r="G348" s="19">
        <v>100</v>
      </c>
      <c r="H348" s="24">
        <f>IF(G348/F348*100&gt;100,100,G348/F348*100)</f>
        <v>100</v>
      </c>
      <c r="I348" s="19"/>
      <c r="J348" s="19" t="s">
        <v>16</v>
      </c>
      <c r="K348" s="41" t="s">
        <v>43</v>
      </c>
      <c r="L348" s="19" t="s">
        <v>20</v>
      </c>
      <c r="M348" s="19">
        <v>44</v>
      </c>
      <c r="N348" s="19">
        <v>44</v>
      </c>
      <c r="O348" s="24">
        <f>IF(N348/M348*100&gt;110,110,N348/M348*100)</f>
        <v>100</v>
      </c>
      <c r="P348" s="468"/>
      <c r="Q348" s="35"/>
      <c r="R348" s="19"/>
      <c r="S348" s="585"/>
      <c r="T348" s="2"/>
    </row>
    <row r="349" spans="1:21" s="1" customFormat="1" ht="69.75" customHeight="1" x14ac:dyDescent="0.35">
      <c r="A349" s="568"/>
      <c r="B349" s="572"/>
      <c r="C349" s="19"/>
      <c r="D349" s="41"/>
      <c r="E349" s="19"/>
      <c r="F349" s="19"/>
      <c r="G349" s="19"/>
      <c r="H349" s="24"/>
      <c r="I349" s="19"/>
      <c r="J349" s="19" t="s">
        <v>21</v>
      </c>
      <c r="K349" s="41" t="s">
        <v>29</v>
      </c>
      <c r="L349" s="19" t="s">
        <v>20</v>
      </c>
      <c r="M349" s="19">
        <v>129</v>
      </c>
      <c r="N349" s="19">
        <v>129</v>
      </c>
      <c r="O349" s="24">
        <f>IF(N349/M349*100&gt;110,110,N349/M349*100)</f>
        <v>100</v>
      </c>
      <c r="P349" s="468"/>
      <c r="Q349" s="35"/>
      <c r="R349" s="19"/>
      <c r="S349" s="585"/>
      <c r="T349" s="2"/>
    </row>
    <row r="350" spans="1:21" s="1" customFormat="1" ht="66.75" customHeight="1" x14ac:dyDescent="0.35">
      <c r="A350" s="568"/>
      <c r="B350" s="572"/>
      <c r="C350" s="19"/>
      <c r="D350" s="41"/>
      <c r="E350" s="19"/>
      <c r="F350" s="19"/>
      <c r="G350" s="19"/>
      <c r="H350" s="24"/>
      <c r="I350" s="19"/>
      <c r="J350" s="19" t="s">
        <v>23</v>
      </c>
      <c r="K350" s="41" t="s">
        <v>44</v>
      </c>
      <c r="L350" s="19" t="s">
        <v>20</v>
      </c>
      <c r="M350" s="19">
        <v>19</v>
      </c>
      <c r="N350" s="19">
        <v>19</v>
      </c>
      <c r="O350" s="24">
        <f>IF(N350/M350*100&gt;110,110,N350/M350*100)</f>
        <v>100</v>
      </c>
      <c r="P350" s="468"/>
      <c r="Q350" s="35"/>
      <c r="R350" s="19"/>
      <c r="S350" s="585"/>
      <c r="T350" s="2"/>
    </row>
    <row r="351" spans="1:21" s="1" customFormat="1" ht="54.75" customHeight="1" x14ac:dyDescent="0.35">
      <c r="A351" s="568"/>
      <c r="B351" s="572"/>
      <c r="C351" s="128"/>
      <c r="D351" s="466" t="s">
        <v>644</v>
      </c>
      <c r="E351" s="20"/>
      <c r="F351" s="127"/>
      <c r="G351" s="126"/>
      <c r="H351" s="18"/>
      <c r="I351" s="18">
        <f>H348</f>
        <v>100</v>
      </c>
      <c r="J351" s="20"/>
      <c r="K351" s="466" t="s">
        <v>644</v>
      </c>
      <c r="L351" s="20"/>
      <c r="M351" s="124"/>
      <c r="N351" s="124"/>
      <c r="O351" s="18"/>
      <c r="P351" s="18">
        <f>(O350+O348+O349)/3</f>
        <v>100</v>
      </c>
      <c r="Q351" s="18">
        <f>(I351+P351)/2</f>
        <v>100</v>
      </c>
      <c r="R351" s="465" t="s">
        <v>25</v>
      </c>
      <c r="S351" s="585"/>
      <c r="T351" s="2"/>
      <c r="U351" s="3"/>
    </row>
    <row r="352" spans="1:21" s="1" customFormat="1" ht="45.75" customHeight="1" x14ac:dyDescent="0.35">
      <c r="A352" s="568"/>
      <c r="B352" s="572"/>
      <c r="C352" s="454" t="s">
        <v>26</v>
      </c>
      <c r="D352" s="59" t="s">
        <v>27</v>
      </c>
      <c r="E352" s="19"/>
      <c r="F352" s="19"/>
      <c r="G352" s="19"/>
      <c r="H352" s="35"/>
      <c r="I352" s="35"/>
      <c r="J352" s="454" t="s">
        <v>26</v>
      </c>
      <c r="K352" s="59" t="s">
        <v>27</v>
      </c>
      <c r="L352" s="19"/>
      <c r="M352" s="476"/>
      <c r="N352" s="476"/>
      <c r="O352" s="35"/>
      <c r="P352" s="468"/>
      <c r="Q352" s="35"/>
      <c r="R352" s="19"/>
      <c r="S352" s="585"/>
      <c r="T352" s="2"/>
    </row>
    <row r="353" spans="1:21" s="1" customFormat="1" ht="33" x14ac:dyDescent="0.35">
      <c r="A353" s="568"/>
      <c r="B353" s="572"/>
      <c r="C353" s="19" t="s">
        <v>28</v>
      </c>
      <c r="D353" s="41" t="s">
        <v>17</v>
      </c>
      <c r="E353" s="19" t="s">
        <v>18</v>
      </c>
      <c r="F353" s="19">
        <v>95</v>
      </c>
      <c r="G353" s="19">
        <v>100</v>
      </c>
      <c r="H353" s="24">
        <f>IF(G353/F353*100&gt;100,100,G353/F353*100)</f>
        <v>100</v>
      </c>
      <c r="I353" s="19"/>
      <c r="J353" s="129" t="s">
        <v>28</v>
      </c>
      <c r="K353" s="41" t="s">
        <v>53</v>
      </c>
      <c r="L353" s="19" t="s">
        <v>20</v>
      </c>
      <c r="M353" s="19">
        <v>187</v>
      </c>
      <c r="N353" s="19">
        <v>187</v>
      </c>
      <c r="O353" s="24">
        <f>IF(N353/M353*100&gt;110,110,N353/M353*100)</f>
        <v>100</v>
      </c>
      <c r="P353" s="468"/>
      <c r="Q353" s="35"/>
      <c r="R353" s="19"/>
      <c r="S353" s="585"/>
      <c r="T353" s="2"/>
    </row>
    <row r="354" spans="1:21" s="1" customFormat="1" ht="33" x14ac:dyDescent="0.35">
      <c r="A354" s="568"/>
      <c r="B354" s="572"/>
      <c r="C354" s="19" t="s">
        <v>30</v>
      </c>
      <c r="D354" s="41" t="s">
        <v>31</v>
      </c>
      <c r="E354" s="19" t="s">
        <v>32</v>
      </c>
      <c r="F354" s="19">
        <v>35</v>
      </c>
      <c r="G354" s="19">
        <v>23.4</v>
      </c>
      <c r="H354" s="24">
        <f>IF(F354/G354*100&gt;100,100,F354/G354*100)</f>
        <v>100</v>
      </c>
      <c r="I354" s="19"/>
      <c r="J354" s="129" t="s">
        <v>30</v>
      </c>
      <c r="K354" s="41" t="s">
        <v>33</v>
      </c>
      <c r="L354" s="19" t="s">
        <v>20</v>
      </c>
      <c r="M354" s="19">
        <v>3</v>
      </c>
      <c r="N354" s="19">
        <v>3</v>
      </c>
      <c r="O354" s="24">
        <f>IF(N354/M354*100&gt;110,110,N354/M354*100)</f>
        <v>100</v>
      </c>
      <c r="P354" s="468"/>
      <c r="Q354" s="35"/>
      <c r="R354" s="19"/>
      <c r="S354" s="585"/>
      <c r="T354" s="2"/>
    </row>
    <row r="355" spans="1:21" s="1" customFormat="1" x14ac:dyDescent="0.35">
      <c r="A355" s="568"/>
      <c r="B355" s="572"/>
      <c r="C355" s="19"/>
      <c r="D355" s="41"/>
      <c r="E355" s="19"/>
      <c r="F355" s="19"/>
      <c r="G355" s="19"/>
      <c r="H355" s="24"/>
      <c r="I355" s="19"/>
      <c r="J355" s="129" t="s">
        <v>34</v>
      </c>
      <c r="K355" s="41" t="s">
        <v>35</v>
      </c>
      <c r="L355" s="19" t="s">
        <v>20</v>
      </c>
      <c r="M355" s="19">
        <v>2</v>
      </c>
      <c r="N355" s="19">
        <v>2</v>
      </c>
      <c r="O355" s="24">
        <f>IF(N355/M355*100&gt;110,110,N355/M355*100)</f>
        <v>100</v>
      </c>
      <c r="P355" s="468"/>
      <c r="Q355" s="35"/>
      <c r="R355" s="19"/>
      <c r="S355" s="585"/>
      <c r="T355" s="2"/>
    </row>
    <row r="356" spans="1:21" s="1" customFormat="1" ht="54.75" customHeight="1" x14ac:dyDescent="0.35">
      <c r="A356" s="568"/>
      <c r="B356" s="572"/>
      <c r="C356" s="128"/>
      <c r="D356" s="466" t="s">
        <v>644</v>
      </c>
      <c r="E356" s="20"/>
      <c r="F356" s="127"/>
      <c r="G356" s="126"/>
      <c r="H356" s="18"/>
      <c r="I356" s="18">
        <f>(H353+H354)/2</f>
        <v>100</v>
      </c>
      <c r="J356" s="20"/>
      <c r="K356" s="466" t="s">
        <v>644</v>
      </c>
      <c r="L356" s="20"/>
      <c r="M356" s="124"/>
      <c r="N356" s="124"/>
      <c r="O356" s="18"/>
      <c r="P356" s="18">
        <f>(O355+O354+O353)/3</f>
        <v>100</v>
      </c>
      <c r="Q356" s="18">
        <f>(I356+P356)/2</f>
        <v>100</v>
      </c>
      <c r="R356" s="465" t="s">
        <v>25</v>
      </c>
      <c r="S356" s="585"/>
      <c r="T356" s="2"/>
      <c r="U356" s="3"/>
    </row>
    <row r="357" spans="1:21" s="1" customFormat="1" ht="54.75" customHeight="1" x14ac:dyDescent="0.35">
      <c r="A357" s="568"/>
      <c r="B357" s="573"/>
      <c r="C357" s="454" t="s">
        <v>36</v>
      </c>
      <c r="D357" s="59" t="s">
        <v>130</v>
      </c>
      <c r="E357" s="454"/>
      <c r="F357" s="454"/>
      <c r="G357" s="454"/>
      <c r="H357" s="35"/>
      <c r="I357" s="35"/>
      <c r="J357" s="454" t="s">
        <v>36</v>
      </c>
      <c r="K357" s="59" t="s">
        <v>130</v>
      </c>
      <c r="L357" s="19"/>
      <c r="M357" s="19"/>
      <c r="N357" s="19"/>
      <c r="O357" s="35"/>
      <c r="P357" s="35"/>
      <c r="Q357" s="35"/>
      <c r="R357" s="19"/>
      <c r="S357" s="586"/>
      <c r="T357" s="2"/>
      <c r="U357" s="3"/>
    </row>
    <row r="358" spans="1:21" s="1" customFormat="1" ht="54.75" customHeight="1" x14ac:dyDescent="0.35">
      <c r="A358" s="568"/>
      <c r="B358" s="573"/>
      <c r="C358" s="19" t="s">
        <v>38</v>
      </c>
      <c r="D358" s="41" t="s">
        <v>208</v>
      </c>
      <c r="E358" s="19" t="s">
        <v>18</v>
      </c>
      <c r="F358" s="19">
        <v>100</v>
      </c>
      <c r="G358" s="19">
        <v>100</v>
      </c>
      <c r="H358" s="24">
        <f>IF(G358/F358*100&gt;100,100,G358/F358*100)</f>
        <v>100</v>
      </c>
      <c r="I358" s="19"/>
      <c r="J358" s="19" t="s">
        <v>38</v>
      </c>
      <c r="K358" s="455" t="s">
        <v>223</v>
      </c>
      <c r="L358" s="19" t="s">
        <v>158</v>
      </c>
      <c r="M358" s="19"/>
      <c r="N358" s="19"/>
      <c r="O358" s="24"/>
      <c r="P358" s="468"/>
      <c r="Q358" s="35"/>
      <c r="R358" s="19"/>
      <c r="S358" s="586"/>
      <c r="T358" s="2"/>
      <c r="U358" s="3"/>
    </row>
    <row r="359" spans="1:21" s="1" customFormat="1" ht="54.75" customHeight="1" x14ac:dyDescent="0.35">
      <c r="A359" s="568"/>
      <c r="B359" s="573"/>
      <c r="C359" s="19"/>
      <c r="D359" s="41"/>
      <c r="E359" s="19"/>
      <c r="F359" s="477"/>
      <c r="G359" s="477"/>
      <c r="H359" s="24"/>
      <c r="I359" s="19"/>
      <c r="J359" s="19" t="s">
        <v>234</v>
      </c>
      <c r="K359" s="455" t="s">
        <v>291</v>
      </c>
      <c r="L359" s="19" t="s">
        <v>158</v>
      </c>
      <c r="M359" s="19">
        <v>374</v>
      </c>
      <c r="N359" s="19">
        <v>374</v>
      </c>
      <c r="O359" s="24">
        <f>IF(N359/M359*100&gt;110,110,N359/M359*100)</f>
        <v>100</v>
      </c>
      <c r="P359" s="468"/>
      <c r="Q359" s="35"/>
      <c r="R359" s="19"/>
      <c r="S359" s="586"/>
      <c r="T359" s="2"/>
      <c r="U359" s="3"/>
    </row>
    <row r="360" spans="1:21" s="1" customFormat="1" ht="54.75" customHeight="1" x14ac:dyDescent="0.35">
      <c r="A360" s="582"/>
      <c r="B360" s="574"/>
      <c r="C360" s="20"/>
      <c r="D360" s="466" t="s">
        <v>644</v>
      </c>
      <c r="E360" s="465"/>
      <c r="F360" s="20"/>
      <c r="G360" s="20"/>
      <c r="H360" s="18"/>
      <c r="I360" s="18">
        <f>H358</f>
        <v>100</v>
      </c>
      <c r="J360" s="128"/>
      <c r="K360" s="466" t="s">
        <v>644</v>
      </c>
      <c r="L360" s="20"/>
      <c r="M360" s="124"/>
      <c r="N360" s="124"/>
      <c r="O360" s="18"/>
      <c r="P360" s="18">
        <f>O359</f>
        <v>100</v>
      </c>
      <c r="Q360" s="18">
        <f>(I360+P360)/2</f>
        <v>100</v>
      </c>
      <c r="R360" s="465" t="s">
        <v>25</v>
      </c>
      <c r="S360" s="587"/>
      <c r="T360" s="2"/>
      <c r="U360" s="3"/>
    </row>
    <row r="361" spans="1:21" s="1" customFormat="1" ht="82.5" customHeight="1" x14ac:dyDescent="0.35">
      <c r="A361" s="567">
        <v>25</v>
      </c>
      <c r="B361" s="571" t="s">
        <v>87</v>
      </c>
      <c r="C361" s="454" t="s">
        <v>13</v>
      </c>
      <c r="D361" s="59" t="s">
        <v>14</v>
      </c>
      <c r="E361" s="454"/>
      <c r="F361" s="454"/>
      <c r="G361" s="454"/>
      <c r="H361" s="35"/>
      <c r="I361" s="35"/>
      <c r="J361" s="454" t="s">
        <v>13</v>
      </c>
      <c r="K361" s="59" t="s">
        <v>14</v>
      </c>
      <c r="L361" s="19"/>
      <c r="M361" s="19"/>
      <c r="N361" s="19"/>
      <c r="O361" s="35"/>
      <c r="P361" s="468"/>
      <c r="Q361" s="35"/>
      <c r="R361" s="19"/>
      <c r="S361" s="584" t="s">
        <v>15</v>
      </c>
      <c r="T361" s="2"/>
    </row>
    <row r="362" spans="1:21" s="1" customFormat="1" ht="33" x14ac:dyDescent="0.35">
      <c r="A362" s="568"/>
      <c r="B362" s="572"/>
      <c r="C362" s="19" t="s">
        <v>16</v>
      </c>
      <c r="D362" s="41" t="s">
        <v>17</v>
      </c>
      <c r="E362" s="19" t="s">
        <v>18</v>
      </c>
      <c r="F362" s="19">
        <v>95</v>
      </c>
      <c r="G362" s="19">
        <v>100</v>
      </c>
      <c r="H362" s="24">
        <f>IF(G362/F362*100&gt;100,100,G362/F362*100)</f>
        <v>100</v>
      </c>
      <c r="I362" s="19"/>
      <c r="J362" s="19" t="s">
        <v>16</v>
      </c>
      <c r="K362" s="41" t="s">
        <v>43</v>
      </c>
      <c r="L362" s="19" t="s">
        <v>20</v>
      </c>
      <c r="M362" s="19">
        <v>64</v>
      </c>
      <c r="N362" s="19">
        <v>64</v>
      </c>
      <c r="O362" s="24">
        <f>IF(N362/M362*100&gt;110,110,N362/M362*100)</f>
        <v>100</v>
      </c>
      <c r="P362" s="468"/>
      <c r="Q362" s="35"/>
      <c r="R362" s="19"/>
      <c r="S362" s="585"/>
      <c r="T362" s="2"/>
    </row>
    <row r="363" spans="1:21" s="1" customFormat="1" ht="73.5" customHeight="1" x14ac:dyDescent="0.35">
      <c r="A363" s="568"/>
      <c r="B363" s="572"/>
      <c r="C363" s="19"/>
      <c r="D363" s="41"/>
      <c r="E363" s="19"/>
      <c r="F363" s="19"/>
      <c r="G363" s="19"/>
      <c r="H363" s="24"/>
      <c r="I363" s="19"/>
      <c r="J363" s="19" t="s">
        <v>21</v>
      </c>
      <c r="K363" s="41" t="s">
        <v>29</v>
      </c>
      <c r="L363" s="19" t="s">
        <v>20</v>
      </c>
      <c r="M363" s="19">
        <v>174</v>
      </c>
      <c r="N363" s="19">
        <v>174</v>
      </c>
      <c r="O363" s="24">
        <f>IF(N363/M363*100&gt;110,110,N363/M363*100)</f>
        <v>100</v>
      </c>
      <c r="P363" s="468"/>
      <c r="Q363" s="35"/>
      <c r="R363" s="19"/>
      <c r="S363" s="585"/>
      <c r="T363" s="2"/>
    </row>
    <row r="364" spans="1:21" s="1" customFormat="1" ht="33" customHeight="1" x14ac:dyDescent="0.35">
      <c r="A364" s="568"/>
      <c r="B364" s="572"/>
      <c r="C364" s="19"/>
      <c r="D364" s="41"/>
      <c r="E364" s="19"/>
      <c r="F364" s="19"/>
      <c r="G364" s="19"/>
      <c r="H364" s="24"/>
      <c r="I364" s="19"/>
      <c r="J364" s="19" t="s">
        <v>23</v>
      </c>
      <c r="K364" s="41" t="s">
        <v>56</v>
      </c>
      <c r="L364" s="19" t="s">
        <v>20</v>
      </c>
      <c r="M364" s="19">
        <v>25</v>
      </c>
      <c r="N364" s="19">
        <v>25</v>
      </c>
      <c r="O364" s="24">
        <f>IF(N364/M364*100&gt;110,110,N364/M364*100)</f>
        <v>100</v>
      </c>
      <c r="P364" s="468"/>
      <c r="Q364" s="35"/>
      <c r="R364" s="19"/>
      <c r="S364" s="585"/>
      <c r="T364" s="2"/>
    </row>
    <row r="365" spans="1:21" s="1" customFormat="1" ht="49.5" customHeight="1" x14ac:dyDescent="0.35">
      <c r="A365" s="568"/>
      <c r="B365" s="572"/>
      <c r="C365" s="128"/>
      <c r="D365" s="466" t="s">
        <v>644</v>
      </c>
      <c r="E365" s="20"/>
      <c r="F365" s="127"/>
      <c r="G365" s="126"/>
      <c r="H365" s="18"/>
      <c r="I365" s="18">
        <f>H362</f>
        <v>100</v>
      </c>
      <c r="J365" s="20"/>
      <c r="K365" s="466" t="s">
        <v>644</v>
      </c>
      <c r="L365" s="20"/>
      <c r="M365" s="124"/>
      <c r="N365" s="124"/>
      <c r="O365" s="18"/>
      <c r="P365" s="18">
        <f>(O364+O362+O363)/3</f>
        <v>100</v>
      </c>
      <c r="Q365" s="18">
        <f>(I365+P365)/2</f>
        <v>100</v>
      </c>
      <c r="R365" s="465" t="s">
        <v>25</v>
      </c>
      <c r="S365" s="585"/>
      <c r="T365" s="2"/>
      <c r="U365" s="3"/>
    </row>
    <row r="366" spans="1:21" s="1" customFormat="1" ht="48" customHeight="1" x14ac:dyDescent="0.35">
      <c r="A366" s="568"/>
      <c r="B366" s="572"/>
      <c r="C366" s="454" t="s">
        <v>26</v>
      </c>
      <c r="D366" s="59" t="s">
        <v>27</v>
      </c>
      <c r="E366" s="19"/>
      <c r="F366" s="19"/>
      <c r="G366" s="19"/>
      <c r="H366" s="35"/>
      <c r="I366" s="35"/>
      <c r="J366" s="454" t="s">
        <v>26</v>
      </c>
      <c r="K366" s="59" t="s">
        <v>27</v>
      </c>
      <c r="L366" s="19"/>
      <c r="M366" s="476"/>
      <c r="N366" s="476"/>
      <c r="O366" s="35"/>
      <c r="P366" s="468"/>
      <c r="Q366" s="35"/>
      <c r="R366" s="19"/>
      <c r="S366" s="585"/>
      <c r="T366" s="2"/>
    </row>
    <row r="367" spans="1:21" s="1" customFormat="1" ht="33" x14ac:dyDescent="0.35">
      <c r="A367" s="568"/>
      <c r="B367" s="572"/>
      <c r="C367" s="19" t="s">
        <v>28</v>
      </c>
      <c r="D367" s="41" t="s">
        <v>17</v>
      </c>
      <c r="E367" s="19" t="s">
        <v>18</v>
      </c>
      <c r="F367" s="19">
        <v>95</v>
      </c>
      <c r="G367" s="19">
        <v>100</v>
      </c>
      <c r="H367" s="24">
        <f>IF(G367/F367*100&gt;100,100,G367/F367*100)</f>
        <v>100</v>
      </c>
      <c r="I367" s="19"/>
      <c r="J367" s="575" t="s">
        <v>28</v>
      </c>
      <c r="K367" s="575" t="s">
        <v>29</v>
      </c>
      <c r="L367" s="575" t="s">
        <v>20</v>
      </c>
      <c r="M367" s="575">
        <v>263</v>
      </c>
      <c r="N367" s="575">
        <v>263</v>
      </c>
      <c r="O367" s="577">
        <f>IF(N367/M367*100&gt;110,110,N367/M367*100)</f>
        <v>100</v>
      </c>
      <c r="P367" s="588"/>
      <c r="Q367" s="590"/>
      <c r="R367" s="575"/>
      <c r="S367" s="585"/>
      <c r="T367" s="2"/>
    </row>
    <row r="368" spans="1:21" s="1" customFormat="1" ht="33" x14ac:dyDescent="0.35">
      <c r="A368" s="568"/>
      <c r="B368" s="572"/>
      <c r="C368" s="19" t="s">
        <v>30</v>
      </c>
      <c r="D368" s="41" t="s">
        <v>31</v>
      </c>
      <c r="E368" s="19" t="s">
        <v>32</v>
      </c>
      <c r="F368" s="19">
        <v>35</v>
      </c>
      <c r="G368" s="19">
        <v>18</v>
      </c>
      <c r="H368" s="24">
        <f>IF(F368/G368*100&gt;100,100,F368/G368*100)</f>
        <v>100</v>
      </c>
      <c r="I368" s="19"/>
      <c r="J368" s="583"/>
      <c r="K368" s="583"/>
      <c r="L368" s="583"/>
      <c r="M368" s="583"/>
      <c r="N368" s="583"/>
      <c r="O368" s="594"/>
      <c r="P368" s="589"/>
      <c r="Q368" s="591"/>
      <c r="R368" s="583"/>
      <c r="S368" s="585"/>
      <c r="T368" s="2"/>
    </row>
    <row r="369" spans="1:21" s="1" customFormat="1" ht="54.75" customHeight="1" x14ac:dyDescent="0.35">
      <c r="A369" s="568"/>
      <c r="B369" s="572"/>
      <c r="C369" s="128"/>
      <c r="D369" s="466" t="s">
        <v>644</v>
      </c>
      <c r="E369" s="20"/>
      <c r="F369" s="127"/>
      <c r="G369" s="126"/>
      <c r="H369" s="18"/>
      <c r="I369" s="18">
        <f>(H367+H368)/2</f>
        <v>100</v>
      </c>
      <c r="J369" s="20"/>
      <c r="K369" s="466" t="s">
        <v>644</v>
      </c>
      <c r="L369" s="20"/>
      <c r="M369" s="124"/>
      <c r="N369" s="124"/>
      <c r="O369" s="18"/>
      <c r="P369" s="18">
        <f>O367/1</f>
        <v>100</v>
      </c>
      <c r="Q369" s="18">
        <f>(I369+P369)/2</f>
        <v>100</v>
      </c>
      <c r="R369" s="465" t="s">
        <v>25</v>
      </c>
      <c r="S369" s="585"/>
      <c r="T369" s="2"/>
      <c r="U369" s="3"/>
    </row>
    <row r="370" spans="1:21" s="1" customFormat="1" ht="105.75" customHeight="1" x14ac:dyDescent="0.35">
      <c r="A370" s="568"/>
      <c r="B370" s="572"/>
      <c r="C370" s="454" t="s">
        <v>36</v>
      </c>
      <c r="D370" s="59" t="s">
        <v>37</v>
      </c>
      <c r="E370" s="19"/>
      <c r="F370" s="19"/>
      <c r="G370" s="19"/>
      <c r="H370" s="35"/>
      <c r="I370" s="35"/>
      <c r="J370" s="454" t="s">
        <v>36</v>
      </c>
      <c r="K370" s="59" t="str">
        <f>D370</f>
        <v>Предоставление консультационных и методических услуг</v>
      </c>
      <c r="L370" s="19"/>
      <c r="M370" s="122"/>
      <c r="N370" s="122"/>
      <c r="O370" s="35"/>
      <c r="P370" s="468"/>
      <c r="Q370" s="35"/>
      <c r="R370" s="19"/>
      <c r="S370" s="585"/>
      <c r="T370" s="2"/>
    </row>
    <row r="371" spans="1:21" s="1" customFormat="1" ht="72" customHeight="1" x14ac:dyDescent="0.35">
      <c r="A371" s="568"/>
      <c r="B371" s="572"/>
      <c r="C371" s="19" t="s">
        <v>38</v>
      </c>
      <c r="D371" s="41" t="s">
        <v>39</v>
      </c>
      <c r="E371" s="19" t="s">
        <v>20</v>
      </c>
      <c r="F371" s="19">
        <v>50</v>
      </c>
      <c r="G371" s="19">
        <v>50</v>
      </c>
      <c r="H371" s="24">
        <f>IF(F371/G371*100&gt;100,100,F371/G371*100)</f>
        <v>100</v>
      </c>
      <c r="I371" s="19"/>
      <c r="J371" s="129" t="s">
        <v>38</v>
      </c>
      <c r="K371" s="41" t="s">
        <v>40</v>
      </c>
      <c r="L371" s="19" t="s">
        <v>41</v>
      </c>
      <c r="M371" s="479">
        <v>100</v>
      </c>
      <c r="N371" s="479">
        <v>100</v>
      </c>
      <c r="O371" s="480">
        <f>IF(N371/M371*100&gt;110,110,N371/M371*100)</f>
        <v>100</v>
      </c>
      <c r="P371" s="468"/>
      <c r="Q371" s="35"/>
      <c r="R371" s="19"/>
      <c r="S371" s="585"/>
      <c r="T371" s="2"/>
    </row>
    <row r="372" spans="1:21" s="1" customFormat="1" ht="45" customHeight="1" x14ac:dyDescent="0.35">
      <c r="A372" s="568"/>
      <c r="B372" s="572"/>
      <c r="C372" s="465"/>
      <c r="D372" s="466" t="s">
        <v>644</v>
      </c>
      <c r="E372" s="465"/>
      <c r="F372" s="20"/>
      <c r="G372" s="20"/>
      <c r="H372" s="18"/>
      <c r="I372" s="18">
        <f>H371</f>
        <v>100</v>
      </c>
      <c r="J372" s="128"/>
      <c r="K372" s="466" t="s">
        <v>644</v>
      </c>
      <c r="L372" s="20"/>
      <c r="M372" s="124"/>
      <c r="N372" s="124"/>
      <c r="O372" s="18"/>
      <c r="P372" s="18">
        <f>O371</f>
        <v>100</v>
      </c>
      <c r="Q372" s="18">
        <f>(I372+P372)/2</f>
        <v>100</v>
      </c>
      <c r="R372" s="465" t="s">
        <v>25</v>
      </c>
      <c r="S372" s="585"/>
      <c r="T372" s="2"/>
    </row>
    <row r="373" spans="1:21" s="1" customFormat="1" ht="53.25" customHeight="1" x14ac:dyDescent="0.35">
      <c r="A373" s="568"/>
      <c r="B373" s="573"/>
      <c r="C373" s="454" t="s">
        <v>123</v>
      </c>
      <c r="D373" s="59" t="s">
        <v>130</v>
      </c>
      <c r="E373" s="454"/>
      <c r="F373" s="454"/>
      <c r="G373" s="454"/>
      <c r="H373" s="35"/>
      <c r="I373" s="35"/>
      <c r="J373" s="454" t="s">
        <v>123</v>
      </c>
      <c r="K373" s="59" t="s">
        <v>130</v>
      </c>
      <c r="L373" s="19"/>
      <c r="M373" s="19"/>
      <c r="N373" s="19"/>
      <c r="O373" s="35"/>
      <c r="P373" s="35"/>
      <c r="Q373" s="35"/>
      <c r="R373" s="19"/>
      <c r="S373" s="586"/>
      <c r="T373" s="2"/>
    </row>
    <row r="374" spans="1:21" s="1" customFormat="1" ht="60" customHeight="1" x14ac:dyDescent="0.35">
      <c r="A374" s="568"/>
      <c r="B374" s="573"/>
      <c r="C374" s="19" t="s">
        <v>124</v>
      </c>
      <c r="D374" s="41" t="s">
        <v>208</v>
      </c>
      <c r="E374" s="19" t="s">
        <v>18</v>
      </c>
      <c r="F374" s="19">
        <v>100</v>
      </c>
      <c r="G374" s="19">
        <v>100</v>
      </c>
      <c r="H374" s="24">
        <f>IF(G374/F374*100&gt;100,100,G374/F374*100)</f>
        <v>100</v>
      </c>
      <c r="I374" s="19"/>
      <c r="J374" s="19" t="s">
        <v>124</v>
      </c>
      <c r="K374" s="455" t="s">
        <v>223</v>
      </c>
      <c r="L374" s="19" t="s">
        <v>158</v>
      </c>
      <c r="M374" s="19"/>
      <c r="N374" s="19"/>
      <c r="O374" s="24"/>
      <c r="P374" s="468"/>
      <c r="Q374" s="35"/>
      <c r="R374" s="19"/>
      <c r="S374" s="586"/>
      <c r="T374" s="2"/>
    </row>
    <row r="375" spans="1:21" s="1" customFormat="1" ht="48.75" customHeight="1" x14ac:dyDescent="0.35">
      <c r="A375" s="568"/>
      <c r="B375" s="573"/>
      <c r="C375" s="19"/>
      <c r="D375" s="41"/>
      <c r="E375" s="19"/>
      <c r="F375" s="477"/>
      <c r="G375" s="477"/>
      <c r="H375" s="24"/>
      <c r="I375" s="19"/>
      <c r="J375" s="19" t="s">
        <v>284</v>
      </c>
      <c r="K375" s="455" t="s">
        <v>288</v>
      </c>
      <c r="L375" s="19" t="s">
        <v>158</v>
      </c>
      <c r="M375" s="19">
        <v>374</v>
      </c>
      <c r="N375" s="19">
        <v>374</v>
      </c>
      <c r="O375" s="24">
        <f>IF(N375/M375*100&gt;110,110,N375/M375*100)</f>
        <v>100</v>
      </c>
      <c r="P375" s="468"/>
      <c r="Q375" s="35"/>
      <c r="R375" s="19"/>
      <c r="S375" s="586"/>
      <c r="T375" s="2"/>
    </row>
    <row r="376" spans="1:21" s="1" customFormat="1" ht="43.5" customHeight="1" x14ac:dyDescent="0.35">
      <c r="A376" s="582"/>
      <c r="B376" s="574"/>
      <c r="C376" s="20"/>
      <c r="D376" s="466" t="s">
        <v>644</v>
      </c>
      <c r="E376" s="465"/>
      <c r="F376" s="20"/>
      <c r="G376" s="20"/>
      <c r="H376" s="18"/>
      <c r="I376" s="18">
        <f>H374</f>
        <v>100</v>
      </c>
      <c r="J376" s="128"/>
      <c r="K376" s="466" t="s">
        <v>644</v>
      </c>
      <c r="L376" s="20"/>
      <c r="M376" s="124"/>
      <c r="N376" s="124"/>
      <c r="O376" s="18"/>
      <c r="P376" s="18">
        <f>O375</f>
        <v>100</v>
      </c>
      <c r="Q376" s="18">
        <f>(I376+P376)/2</f>
        <v>100</v>
      </c>
      <c r="R376" s="465" t="s">
        <v>25</v>
      </c>
      <c r="S376" s="587"/>
      <c r="T376" s="2"/>
    </row>
    <row r="377" spans="1:21" s="1" customFormat="1" ht="72.75" customHeight="1" x14ac:dyDescent="0.35">
      <c r="A377" s="567">
        <v>26</v>
      </c>
      <c r="B377" s="571" t="s">
        <v>88</v>
      </c>
      <c r="C377" s="454" t="s">
        <v>13</v>
      </c>
      <c r="D377" s="59" t="s">
        <v>14</v>
      </c>
      <c r="E377" s="454"/>
      <c r="F377" s="454"/>
      <c r="G377" s="454"/>
      <c r="H377" s="35"/>
      <c r="I377" s="35"/>
      <c r="J377" s="454" t="s">
        <v>13</v>
      </c>
      <c r="K377" s="59" t="s">
        <v>14</v>
      </c>
      <c r="L377" s="19"/>
      <c r="M377" s="19"/>
      <c r="N377" s="19"/>
      <c r="O377" s="35"/>
      <c r="P377" s="468"/>
      <c r="Q377" s="35"/>
      <c r="R377" s="19"/>
      <c r="S377" s="584" t="s">
        <v>15</v>
      </c>
      <c r="T377" s="2"/>
    </row>
    <row r="378" spans="1:21" s="1" customFormat="1" ht="69.75" customHeight="1" x14ac:dyDescent="0.35">
      <c r="A378" s="568"/>
      <c r="B378" s="572"/>
      <c r="C378" s="19" t="s">
        <v>16</v>
      </c>
      <c r="D378" s="41" t="s">
        <v>17</v>
      </c>
      <c r="E378" s="19" t="s">
        <v>18</v>
      </c>
      <c r="F378" s="19">
        <v>95</v>
      </c>
      <c r="G378" s="19">
        <v>100</v>
      </c>
      <c r="H378" s="24">
        <f>IF(G378/F378*100&gt;100,100,G378/F378*100)</f>
        <v>100</v>
      </c>
      <c r="I378" s="19"/>
      <c r="J378" s="19" t="s">
        <v>16</v>
      </c>
      <c r="K378" s="41" t="s">
        <v>43</v>
      </c>
      <c r="L378" s="19" t="s">
        <v>20</v>
      </c>
      <c r="M378" s="19">
        <v>99</v>
      </c>
      <c r="N378" s="19">
        <v>99</v>
      </c>
      <c r="O378" s="24">
        <f>IF(N378/M378*100&gt;110,110,N378/M378*100)</f>
        <v>100</v>
      </c>
      <c r="P378" s="468"/>
      <c r="Q378" s="35"/>
      <c r="R378" s="19"/>
      <c r="S378" s="585"/>
      <c r="T378" s="2"/>
    </row>
    <row r="379" spans="1:21" s="1" customFormat="1" ht="69.75" customHeight="1" x14ac:dyDescent="0.35">
      <c r="A379" s="568"/>
      <c r="B379" s="572"/>
      <c r="C379" s="19"/>
      <c r="D379" s="41"/>
      <c r="E379" s="19"/>
      <c r="F379" s="19"/>
      <c r="G379" s="19"/>
      <c r="H379" s="24"/>
      <c r="I379" s="19"/>
      <c r="J379" s="19" t="s">
        <v>21</v>
      </c>
      <c r="K379" s="41" t="s">
        <v>29</v>
      </c>
      <c r="L379" s="19" t="s">
        <v>20</v>
      </c>
      <c r="M379" s="19">
        <v>178</v>
      </c>
      <c r="N379" s="19">
        <v>178</v>
      </c>
      <c r="O379" s="24">
        <f>IF(N379/M379*100&gt;110,110,N379/M379*100)</f>
        <v>100</v>
      </c>
      <c r="P379" s="468"/>
      <c r="Q379" s="35"/>
      <c r="R379" s="19"/>
      <c r="S379" s="585"/>
      <c r="T379" s="2"/>
    </row>
    <row r="380" spans="1:21" s="1" customFormat="1" ht="57.75" customHeight="1" x14ac:dyDescent="0.35">
      <c r="A380" s="568"/>
      <c r="B380" s="572"/>
      <c r="C380" s="19"/>
      <c r="D380" s="41"/>
      <c r="E380" s="19"/>
      <c r="F380" s="19"/>
      <c r="G380" s="19"/>
      <c r="H380" s="24"/>
      <c r="I380" s="19"/>
      <c r="J380" s="19" t="s">
        <v>23</v>
      </c>
      <c r="K380" s="41" t="s">
        <v>72</v>
      </c>
      <c r="L380" s="19" t="s">
        <v>20</v>
      </c>
      <c r="M380" s="19">
        <v>29</v>
      </c>
      <c r="N380" s="19">
        <v>29</v>
      </c>
      <c r="O380" s="24">
        <f>IF(N380/M380*100&gt;110,110,N380/M380*100)</f>
        <v>100</v>
      </c>
      <c r="P380" s="468"/>
      <c r="Q380" s="35"/>
      <c r="R380" s="19"/>
      <c r="S380" s="585"/>
      <c r="T380" s="2"/>
    </row>
    <row r="381" spans="1:21" s="1" customFormat="1" ht="55.5" customHeight="1" x14ac:dyDescent="0.35">
      <c r="A381" s="568"/>
      <c r="B381" s="572"/>
      <c r="C381" s="128"/>
      <c r="D381" s="466" t="s">
        <v>644</v>
      </c>
      <c r="E381" s="20"/>
      <c r="F381" s="127"/>
      <c r="G381" s="126"/>
      <c r="H381" s="18"/>
      <c r="I381" s="18">
        <f>H378</f>
        <v>100</v>
      </c>
      <c r="J381" s="20"/>
      <c r="K381" s="466" t="s">
        <v>644</v>
      </c>
      <c r="L381" s="20"/>
      <c r="M381" s="124"/>
      <c r="N381" s="124"/>
      <c r="O381" s="18"/>
      <c r="P381" s="18">
        <f>(O378+O379+O380)/3</f>
        <v>100</v>
      </c>
      <c r="Q381" s="18">
        <f>(I381+P381)/2</f>
        <v>100</v>
      </c>
      <c r="R381" s="465" t="s">
        <v>25</v>
      </c>
      <c r="S381" s="585"/>
      <c r="T381" s="2"/>
      <c r="U381" s="3"/>
    </row>
    <row r="382" spans="1:21" s="1" customFormat="1" ht="39" customHeight="1" x14ac:dyDescent="0.35">
      <c r="A382" s="568"/>
      <c r="B382" s="572"/>
      <c r="C382" s="454" t="s">
        <v>26</v>
      </c>
      <c r="D382" s="59" t="s">
        <v>27</v>
      </c>
      <c r="E382" s="19"/>
      <c r="F382" s="19"/>
      <c r="G382" s="19"/>
      <c r="H382" s="35"/>
      <c r="I382" s="35"/>
      <c r="J382" s="454" t="s">
        <v>26</v>
      </c>
      <c r="K382" s="59" t="s">
        <v>27</v>
      </c>
      <c r="L382" s="19"/>
      <c r="M382" s="476"/>
      <c r="N382" s="476"/>
      <c r="O382" s="35"/>
      <c r="P382" s="468"/>
      <c r="Q382" s="35"/>
      <c r="R382" s="19"/>
      <c r="S382" s="585"/>
      <c r="T382" s="2"/>
    </row>
    <row r="383" spans="1:21" s="1" customFormat="1" ht="90.75" customHeight="1" x14ac:dyDescent="0.35">
      <c r="A383" s="568"/>
      <c r="B383" s="572"/>
      <c r="C383" s="19" t="s">
        <v>28</v>
      </c>
      <c r="D383" s="41" t="s">
        <v>17</v>
      </c>
      <c r="E383" s="19" t="s">
        <v>18</v>
      </c>
      <c r="F383" s="19">
        <v>95</v>
      </c>
      <c r="G383" s="19">
        <v>100</v>
      </c>
      <c r="H383" s="24">
        <f>IF(G383/F383*100&gt;100,100,G383/F383*100)</f>
        <v>100</v>
      </c>
      <c r="I383" s="19"/>
      <c r="J383" s="578" t="s">
        <v>28</v>
      </c>
      <c r="K383" s="580" t="s">
        <v>45</v>
      </c>
      <c r="L383" s="575" t="s">
        <v>20</v>
      </c>
      <c r="M383" s="575">
        <v>304</v>
      </c>
      <c r="N383" s="575">
        <v>304</v>
      </c>
      <c r="O383" s="577">
        <f>IF(N383/M383*100&gt;110,110,N383/M383*100)</f>
        <v>100</v>
      </c>
      <c r="P383" s="603"/>
      <c r="Q383" s="590"/>
      <c r="R383" s="575"/>
      <c r="S383" s="585"/>
      <c r="T383" s="2"/>
    </row>
    <row r="384" spans="1:21" s="1" customFormat="1" ht="90.75" customHeight="1" x14ac:dyDescent="0.35">
      <c r="A384" s="568"/>
      <c r="B384" s="572"/>
      <c r="C384" s="19" t="s">
        <v>30</v>
      </c>
      <c r="D384" s="41" t="s">
        <v>31</v>
      </c>
      <c r="E384" s="19" t="s">
        <v>32</v>
      </c>
      <c r="F384" s="19">
        <v>35</v>
      </c>
      <c r="G384" s="19">
        <v>21</v>
      </c>
      <c r="H384" s="24">
        <f>IF(F384/G384*100&gt;100,100,F384/G384*100)</f>
        <v>100</v>
      </c>
      <c r="I384" s="19"/>
      <c r="J384" s="576"/>
      <c r="K384" s="601"/>
      <c r="L384" s="576"/>
      <c r="M384" s="576"/>
      <c r="N384" s="576"/>
      <c r="O384" s="576"/>
      <c r="P384" s="604"/>
      <c r="Q384" s="576"/>
      <c r="R384" s="576"/>
      <c r="S384" s="585"/>
      <c r="T384" s="2"/>
    </row>
    <row r="385" spans="1:21" s="1" customFormat="1" x14ac:dyDescent="0.35">
      <c r="A385" s="568"/>
      <c r="B385" s="572"/>
      <c r="C385" s="19"/>
      <c r="D385" s="41"/>
      <c r="E385" s="19"/>
      <c r="F385" s="19"/>
      <c r="G385" s="19"/>
      <c r="H385" s="24"/>
      <c r="I385" s="19"/>
      <c r="J385" s="129" t="s">
        <v>34</v>
      </c>
      <c r="K385" s="41" t="s">
        <v>35</v>
      </c>
      <c r="L385" s="19" t="s">
        <v>20</v>
      </c>
      <c r="M385" s="19">
        <v>2</v>
      </c>
      <c r="N385" s="19">
        <v>2</v>
      </c>
      <c r="O385" s="24">
        <f>IF(N385/M385*100&gt;110,110,N385/M385*100)</f>
        <v>100</v>
      </c>
      <c r="P385" s="468"/>
      <c r="Q385" s="35"/>
      <c r="R385" s="19"/>
      <c r="S385" s="585"/>
      <c r="T385" s="2"/>
    </row>
    <row r="386" spans="1:21" s="1" customFormat="1" ht="54.75" customHeight="1" x14ac:dyDescent="0.35">
      <c r="A386" s="568"/>
      <c r="B386" s="572"/>
      <c r="C386" s="128"/>
      <c r="D386" s="466" t="s">
        <v>644</v>
      </c>
      <c r="E386" s="20"/>
      <c r="F386" s="127"/>
      <c r="G386" s="126"/>
      <c r="H386" s="18"/>
      <c r="I386" s="18">
        <f>(H383+H384)/2</f>
        <v>100</v>
      </c>
      <c r="J386" s="20"/>
      <c r="K386" s="466" t="s">
        <v>644</v>
      </c>
      <c r="L386" s="20"/>
      <c r="M386" s="124"/>
      <c r="N386" s="124"/>
      <c r="O386" s="18"/>
      <c r="P386" s="18">
        <f>(O385+O383)/2</f>
        <v>100</v>
      </c>
      <c r="Q386" s="18">
        <f>(I386+P386)/2</f>
        <v>100</v>
      </c>
      <c r="R386" s="465" t="s">
        <v>25</v>
      </c>
      <c r="S386" s="585"/>
      <c r="T386" s="2"/>
      <c r="U386" s="3"/>
    </row>
    <row r="387" spans="1:21" s="1" customFormat="1" ht="66" customHeight="1" x14ac:dyDescent="0.35">
      <c r="A387" s="568"/>
      <c r="B387" s="572"/>
      <c r="C387" s="454" t="s">
        <v>36</v>
      </c>
      <c r="D387" s="59" t="s">
        <v>37</v>
      </c>
      <c r="E387" s="19"/>
      <c r="F387" s="19"/>
      <c r="G387" s="19"/>
      <c r="H387" s="35"/>
      <c r="I387" s="35"/>
      <c r="J387" s="454" t="s">
        <v>36</v>
      </c>
      <c r="K387" s="59" t="str">
        <f>D387</f>
        <v>Предоставление консультационных и методических услуг</v>
      </c>
      <c r="L387" s="19"/>
      <c r="M387" s="122"/>
      <c r="N387" s="122"/>
      <c r="O387" s="35"/>
      <c r="P387" s="468"/>
      <c r="Q387" s="35"/>
      <c r="R387" s="19"/>
      <c r="S387" s="585"/>
      <c r="T387" s="2"/>
    </row>
    <row r="388" spans="1:21" s="1" customFormat="1" ht="66" customHeight="1" x14ac:dyDescent="0.35">
      <c r="A388" s="568"/>
      <c r="B388" s="572"/>
      <c r="C388" s="19" t="s">
        <v>38</v>
      </c>
      <c r="D388" s="41" t="s">
        <v>89</v>
      </c>
      <c r="E388" s="19" t="s">
        <v>20</v>
      </c>
      <c r="F388" s="19">
        <v>50</v>
      </c>
      <c r="G388" s="19">
        <v>50</v>
      </c>
      <c r="H388" s="24">
        <f>IF(G388/F388*100&gt;100,100,G388/F388*100)</f>
        <v>100</v>
      </c>
      <c r="I388" s="19"/>
      <c r="J388" s="129" t="s">
        <v>38</v>
      </c>
      <c r="K388" s="41" t="s">
        <v>40</v>
      </c>
      <c r="L388" s="19" t="s">
        <v>41</v>
      </c>
      <c r="M388" s="19">
        <v>100</v>
      </c>
      <c r="N388" s="479">
        <v>100</v>
      </c>
      <c r="O388" s="24">
        <f>IF(N388/M388*100&gt;110,110,N388/M388*100)</f>
        <v>100</v>
      </c>
      <c r="P388" s="468"/>
      <c r="Q388" s="35"/>
      <c r="R388" s="19"/>
      <c r="S388" s="585"/>
      <c r="T388" s="2"/>
    </row>
    <row r="389" spans="1:21" s="1" customFormat="1" ht="78" customHeight="1" x14ac:dyDescent="0.35">
      <c r="A389" s="568"/>
      <c r="B389" s="572"/>
      <c r="C389" s="20"/>
      <c r="D389" s="466" t="s">
        <v>644</v>
      </c>
      <c r="E389" s="465"/>
      <c r="F389" s="465"/>
      <c r="G389" s="465"/>
      <c r="H389" s="18"/>
      <c r="I389" s="18">
        <f>H388</f>
        <v>100</v>
      </c>
      <c r="J389" s="481"/>
      <c r="K389" s="466" t="s">
        <v>644</v>
      </c>
      <c r="L389" s="20"/>
      <c r="M389" s="124"/>
      <c r="N389" s="124"/>
      <c r="O389" s="126"/>
      <c r="P389" s="18">
        <f>O388</f>
        <v>100</v>
      </c>
      <c r="Q389" s="18">
        <f>(I389+P389)/2</f>
        <v>100</v>
      </c>
      <c r="R389" s="465" t="s">
        <v>25</v>
      </c>
      <c r="S389" s="585"/>
      <c r="T389" s="2"/>
    </row>
    <row r="390" spans="1:21" s="1" customFormat="1" ht="78" customHeight="1" x14ac:dyDescent="0.35">
      <c r="A390" s="568"/>
      <c r="B390" s="573"/>
      <c r="C390" s="454" t="s">
        <v>123</v>
      </c>
      <c r="D390" s="59" t="s">
        <v>130</v>
      </c>
      <c r="E390" s="454"/>
      <c r="F390" s="454"/>
      <c r="G390" s="454"/>
      <c r="H390" s="35"/>
      <c r="I390" s="35"/>
      <c r="J390" s="454" t="s">
        <v>123</v>
      </c>
      <c r="K390" s="59" t="s">
        <v>130</v>
      </c>
      <c r="L390" s="19"/>
      <c r="M390" s="19"/>
      <c r="N390" s="19"/>
      <c r="O390" s="35"/>
      <c r="P390" s="35"/>
      <c r="Q390" s="35"/>
      <c r="R390" s="19"/>
      <c r="S390" s="586"/>
      <c r="T390" s="2"/>
    </row>
    <row r="391" spans="1:21" s="1" customFormat="1" ht="78" customHeight="1" x14ac:dyDescent="0.35">
      <c r="A391" s="568"/>
      <c r="B391" s="573"/>
      <c r="C391" s="19" t="s">
        <v>124</v>
      </c>
      <c r="D391" s="41" t="s">
        <v>208</v>
      </c>
      <c r="E391" s="19" t="s">
        <v>18</v>
      </c>
      <c r="F391" s="19">
        <v>100</v>
      </c>
      <c r="G391" s="19">
        <v>100</v>
      </c>
      <c r="H391" s="24">
        <f>IF(G391/F391*100&gt;100,100,G391/F391*100)</f>
        <v>100</v>
      </c>
      <c r="I391" s="19"/>
      <c r="J391" s="19" t="s">
        <v>124</v>
      </c>
      <c r="K391" s="455" t="s">
        <v>223</v>
      </c>
      <c r="L391" s="19" t="s">
        <v>158</v>
      </c>
      <c r="M391" s="19"/>
      <c r="N391" s="19"/>
      <c r="O391" s="24"/>
      <c r="P391" s="468"/>
      <c r="Q391" s="35"/>
      <c r="R391" s="19"/>
      <c r="S391" s="586"/>
      <c r="T391" s="2"/>
    </row>
    <row r="392" spans="1:21" s="1" customFormat="1" ht="78" customHeight="1" x14ac:dyDescent="0.35">
      <c r="A392" s="568"/>
      <c r="B392" s="573"/>
      <c r="C392" s="19"/>
      <c r="D392" s="41"/>
      <c r="E392" s="19"/>
      <c r="F392" s="477"/>
      <c r="G392" s="477"/>
      <c r="H392" s="24"/>
      <c r="I392" s="19"/>
      <c r="J392" s="19" t="s">
        <v>284</v>
      </c>
      <c r="K392" s="455" t="s">
        <v>285</v>
      </c>
      <c r="L392" s="19" t="s">
        <v>158</v>
      </c>
      <c r="M392" s="19">
        <v>374</v>
      </c>
      <c r="N392" s="19">
        <v>374</v>
      </c>
      <c r="O392" s="24">
        <f>IF(N392/M392*100&gt;110,110,N392/M392*100)</f>
        <v>100</v>
      </c>
      <c r="P392" s="468"/>
      <c r="Q392" s="35"/>
      <c r="R392" s="19"/>
      <c r="S392" s="586"/>
      <c r="T392" s="2"/>
    </row>
    <row r="393" spans="1:21" s="1" customFormat="1" ht="78" customHeight="1" x14ac:dyDescent="0.35">
      <c r="A393" s="582"/>
      <c r="B393" s="574"/>
      <c r="C393" s="20"/>
      <c r="D393" s="466" t="s">
        <v>644</v>
      </c>
      <c r="E393" s="465"/>
      <c r="F393" s="20"/>
      <c r="G393" s="20"/>
      <c r="H393" s="18"/>
      <c r="I393" s="18">
        <f>H391</f>
        <v>100</v>
      </c>
      <c r="J393" s="128"/>
      <c r="K393" s="466" t="s">
        <v>644</v>
      </c>
      <c r="L393" s="20"/>
      <c r="M393" s="124"/>
      <c r="N393" s="124"/>
      <c r="O393" s="18"/>
      <c r="P393" s="18">
        <f>O392</f>
        <v>100</v>
      </c>
      <c r="Q393" s="18">
        <f>(I393+P393)/2</f>
        <v>100</v>
      </c>
      <c r="R393" s="465" t="s">
        <v>25</v>
      </c>
      <c r="S393" s="587"/>
      <c r="T393" s="2"/>
    </row>
    <row r="394" spans="1:21" s="1" customFormat="1" ht="78" customHeight="1" x14ac:dyDescent="0.35">
      <c r="A394" s="567">
        <v>27</v>
      </c>
      <c r="B394" s="571" t="s">
        <v>90</v>
      </c>
      <c r="C394" s="454" t="s">
        <v>13</v>
      </c>
      <c r="D394" s="59" t="s">
        <v>14</v>
      </c>
      <c r="E394" s="454"/>
      <c r="F394" s="454"/>
      <c r="G394" s="454"/>
      <c r="H394" s="35"/>
      <c r="I394" s="35"/>
      <c r="J394" s="454" t="s">
        <v>13</v>
      </c>
      <c r="K394" s="59" t="s">
        <v>14</v>
      </c>
      <c r="L394" s="19"/>
      <c r="M394" s="19"/>
      <c r="N394" s="19"/>
      <c r="O394" s="35"/>
      <c r="P394" s="468"/>
      <c r="Q394" s="35"/>
      <c r="R394" s="19"/>
      <c r="S394" s="584" t="s">
        <v>15</v>
      </c>
      <c r="T394" s="2"/>
    </row>
    <row r="395" spans="1:21" s="1" customFormat="1" ht="78" customHeight="1" x14ac:dyDescent="0.35">
      <c r="A395" s="568"/>
      <c r="B395" s="572"/>
      <c r="C395" s="19" t="s">
        <v>16</v>
      </c>
      <c r="D395" s="41" t="s">
        <v>17</v>
      </c>
      <c r="E395" s="19" t="s">
        <v>18</v>
      </c>
      <c r="F395" s="19">
        <v>95</v>
      </c>
      <c r="G395" s="19">
        <v>100</v>
      </c>
      <c r="H395" s="24">
        <f>IF(G395/F395*100&gt;100,100,G395/F395*100)</f>
        <v>100</v>
      </c>
      <c r="I395" s="19"/>
      <c r="J395" s="19" t="s">
        <v>16</v>
      </c>
      <c r="K395" s="41" t="s">
        <v>43</v>
      </c>
      <c r="L395" s="19" t="s">
        <v>20</v>
      </c>
      <c r="M395" s="19">
        <v>66</v>
      </c>
      <c r="N395" s="19">
        <v>66</v>
      </c>
      <c r="O395" s="24">
        <f>IF(N395/M395*100&gt;110,110,N395/M395*100)</f>
        <v>100</v>
      </c>
      <c r="P395" s="468"/>
      <c r="Q395" s="35"/>
      <c r="R395" s="19"/>
      <c r="S395" s="585"/>
      <c r="T395" s="2"/>
    </row>
    <row r="396" spans="1:21" s="1" customFormat="1" ht="78" customHeight="1" x14ac:dyDescent="0.35">
      <c r="A396" s="568"/>
      <c r="B396" s="572"/>
      <c r="C396" s="19"/>
      <c r="D396" s="41"/>
      <c r="E396" s="19"/>
      <c r="F396" s="19"/>
      <c r="G396" s="19"/>
      <c r="H396" s="24"/>
      <c r="I396" s="19"/>
      <c r="J396" s="19" t="s">
        <v>21</v>
      </c>
      <c r="K396" s="41" t="s">
        <v>29</v>
      </c>
      <c r="L396" s="19" t="s">
        <v>20</v>
      </c>
      <c r="M396" s="19">
        <v>143</v>
      </c>
      <c r="N396" s="19">
        <v>143</v>
      </c>
      <c r="O396" s="24">
        <f>IF(N396/M396*100&gt;110,110,N396/M396*100)</f>
        <v>100</v>
      </c>
      <c r="P396" s="468"/>
      <c r="Q396" s="35"/>
      <c r="R396" s="19"/>
      <c r="S396" s="585"/>
      <c r="T396" s="2"/>
    </row>
    <row r="397" spans="1:21" s="1" customFormat="1" ht="78" customHeight="1" x14ac:dyDescent="0.35">
      <c r="A397" s="568"/>
      <c r="B397" s="572"/>
      <c r="C397" s="19"/>
      <c r="D397" s="41"/>
      <c r="E397" s="19"/>
      <c r="F397" s="19"/>
      <c r="G397" s="19"/>
      <c r="H397" s="24"/>
      <c r="I397" s="19"/>
      <c r="J397" s="19" t="s">
        <v>23</v>
      </c>
      <c r="K397" s="41" t="s">
        <v>72</v>
      </c>
      <c r="L397" s="19" t="s">
        <v>20</v>
      </c>
      <c r="M397" s="19">
        <v>24</v>
      </c>
      <c r="N397" s="19">
        <v>24</v>
      </c>
      <c r="O397" s="24">
        <f>IF(N397/M397*100&gt;110,110,N397/M397*100)</f>
        <v>100</v>
      </c>
      <c r="P397" s="468"/>
      <c r="Q397" s="35"/>
      <c r="R397" s="19"/>
      <c r="S397" s="585"/>
      <c r="T397" s="2"/>
    </row>
    <row r="398" spans="1:21" s="1" customFormat="1" ht="78" customHeight="1" x14ac:dyDescent="0.35">
      <c r="A398" s="568"/>
      <c r="B398" s="572"/>
      <c r="C398" s="128"/>
      <c r="D398" s="466" t="s">
        <v>644</v>
      </c>
      <c r="E398" s="20"/>
      <c r="F398" s="127"/>
      <c r="G398" s="126"/>
      <c r="H398" s="18"/>
      <c r="I398" s="18">
        <f>H395</f>
        <v>100</v>
      </c>
      <c r="J398" s="20"/>
      <c r="K398" s="466" t="s">
        <v>644</v>
      </c>
      <c r="L398" s="20"/>
      <c r="M398" s="124"/>
      <c r="N398" s="124"/>
      <c r="O398" s="18"/>
      <c r="P398" s="18">
        <f>(O395+O396+O397)/3</f>
        <v>100</v>
      </c>
      <c r="Q398" s="18">
        <f>(I398+P398)/2</f>
        <v>100</v>
      </c>
      <c r="R398" s="465" t="s">
        <v>25</v>
      </c>
      <c r="S398" s="585"/>
      <c r="T398" s="2"/>
      <c r="U398" s="3"/>
    </row>
    <row r="399" spans="1:21" s="1" customFormat="1" ht="42" customHeight="1" x14ac:dyDescent="0.35">
      <c r="A399" s="568"/>
      <c r="B399" s="572"/>
      <c r="C399" s="454" t="s">
        <v>26</v>
      </c>
      <c r="D399" s="59" t="s">
        <v>27</v>
      </c>
      <c r="E399" s="19"/>
      <c r="F399" s="19"/>
      <c r="G399" s="19"/>
      <c r="H399" s="35"/>
      <c r="I399" s="35"/>
      <c r="J399" s="454" t="s">
        <v>26</v>
      </c>
      <c r="K399" s="59" t="s">
        <v>27</v>
      </c>
      <c r="L399" s="19"/>
      <c r="M399" s="476"/>
      <c r="N399" s="476"/>
      <c r="O399" s="35"/>
      <c r="P399" s="468"/>
      <c r="Q399" s="35"/>
      <c r="R399" s="19"/>
      <c r="S399" s="585"/>
      <c r="T399" s="2"/>
    </row>
    <row r="400" spans="1:21" s="1" customFormat="1" ht="33" x14ac:dyDescent="0.35">
      <c r="A400" s="568"/>
      <c r="B400" s="572"/>
      <c r="C400" s="19" t="s">
        <v>28</v>
      </c>
      <c r="D400" s="41" t="s">
        <v>17</v>
      </c>
      <c r="E400" s="19" t="s">
        <v>18</v>
      </c>
      <c r="F400" s="19">
        <v>95</v>
      </c>
      <c r="G400" s="19">
        <v>100</v>
      </c>
      <c r="H400" s="24">
        <f>IF(G400/F400*100&gt;100,100,G400/F400*100)</f>
        <v>100</v>
      </c>
      <c r="I400" s="19"/>
      <c r="J400" s="129" t="s">
        <v>28</v>
      </c>
      <c r="K400" s="41" t="s">
        <v>63</v>
      </c>
      <c r="L400" s="19" t="s">
        <v>20</v>
      </c>
      <c r="M400" s="19">
        <v>227</v>
      </c>
      <c r="N400" s="19">
        <v>227</v>
      </c>
      <c r="O400" s="24">
        <f>IF(N400/M400*100&gt;110,110,N400/M400*100)</f>
        <v>100</v>
      </c>
      <c r="P400" s="468"/>
      <c r="Q400" s="35"/>
      <c r="R400" s="19"/>
      <c r="S400" s="585"/>
      <c r="T400" s="2"/>
    </row>
    <row r="401" spans="1:21" s="1" customFormat="1" x14ac:dyDescent="0.35">
      <c r="A401" s="568"/>
      <c r="B401" s="572"/>
      <c r="C401" s="19"/>
      <c r="D401" s="41"/>
      <c r="E401" s="19"/>
      <c r="F401" s="19"/>
      <c r="G401" s="19"/>
      <c r="H401" s="24"/>
      <c r="I401" s="19"/>
      <c r="J401" s="129" t="s">
        <v>30</v>
      </c>
      <c r="K401" s="41" t="s">
        <v>35</v>
      </c>
      <c r="L401" s="19" t="s">
        <v>20</v>
      </c>
      <c r="M401" s="19">
        <v>5</v>
      </c>
      <c r="N401" s="19">
        <v>5</v>
      </c>
      <c r="O401" s="24">
        <f>IF(N401/M401*100&gt;110,110,N401/M401*100)</f>
        <v>100</v>
      </c>
      <c r="P401" s="468"/>
      <c r="Q401" s="35"/>
      <c r="R401" s="19"/>
      <c r="S401" s="585"/>
      <c r="T401" s="2"/>
    </row>
    <row r="402" spans="1:21" s="1" customFormat="1" ht="33" x14ac:dyDescent="0.35">
      <c r="A402" s="568"/>
      <c r="B402" s="572"/>
      <c r="C402" s="19" t="s">
        <v>30</v>
      </c>
      <c r="D402" s="41" t="s">
        <v>31</v>
      </c>
      <c r="E402" s="19" t="s">
        <v>32</v>
      </c>
      <c r="F402" s="19">
        <v>35</v>
      </c>
      <c r="G402" s="19">
        <v>20</v>
      </c>
      <c r="H402" s="24">
        <f>IF(F402/G402*100&gt;100,100,F402/G402*100)</f>
        <v>100</v>
      </c>
      <c r="I402" s="19"/>
      <c r="J402" s="129" t="s">
        <v>34</v>
      </c>
      <c r="K402" s="41" t="s">
        <v>33</v>
      </c>
      <c r="L402" s="19" t="s">
        <v>20</v>
      </c>
      <c r="M402" s="19">
        <v>1</v>
      </c>
      <c r="N402" s="19">
        <v>1</v>
      </c>
      <c r="O402" s="24">
        <f>IF(N402/M402*100&gt;110,110,N402/M402*100)</f>
        <v>100</v>
      </c>
      <c r="P402" s="468"/>
      <c r="Q402" s="35"/>
      <c r="R402" s="19"/>
      <c r="S402" s="585"/>
      <c r="T402" s="2"/>
    </row>
    <row r="403" spans="1:21" s="1" customFormat="1" ht="41.25" customHeight="1" x14ac:dyDescent="0.35">
      <c r="A403" s="568"/>
      <c r="B403" s="572"/>
      <c r="C403" s="465"/>
      <c r="D403" s="466" t="s">
        <v>644</v>
      </c>
      <c r="E403" s="465"/>
      <c r="F403" s="20"/>
      <c r="G403" s="20"/>
      <c r="H403" s="18"/>
      <c r="I403" s="18">
        <f>(H400+H402)/2</f>
        <v>100</v>
      </c>
      <c r="J403" s="128"/>
      <c r="K403" s="466" t="s">
        <v>644</v>
      </c>
      <c r="L403" s="20"/>
      <c r="M403" s="124"/>
      <c r="N403" s="124"/>
      <c r="O403" s="18"/>
      <c r="P403" s="18">
        <f>O400</f>
        <v>100</v>
      </c>
      <c r="Q403" s="18">
        <f>(I403+P403)/2</f>
        <v>100</v>
      </c>
      <c r="R403" s="465" t="s">
        <v>25</v>
      </c>
      <c r="S403" s="585"/>
      <c r="T403" s="2"/>
    </row>
    <row r="404" spans="1:21" s="1" customFormat="1" ht="65.25" customHeight="1" x14ac:dyDescent="0.35">
      <c r="A404" s="568"/>
      <c r="B404" s="573"/>
      <c r="C404" s="454" t="s">
        <v>36</v>
      </c>
      <c r="D404" s="59" t="s">
        <v>130</v>
      </c>
      <c r="E404" s="454"/>
      <c r="F404" s="454"/>
      <c r="G404" s="454"/>
      <c r="H404" s="35"/>
      <c r="I404" s="35"/>
      <c r="J404" s="454" t="s">
        <v>36</v>
      </c>
      <c r="K404" s="59" t="s">
        <v>130</v>
      </c>
      <c r="L404" s="19"/>
      <c r="M404" s="19"/>
      <c r="N404" s="19"/>
      <c r="O404" s="35"/>
      <c r="P404" s="35"/>
      <c r="Q404" s="35"/>
      <c r="R404" s="19"/>
      <c r="S404" s="586"/>
      <c r="T404" s="2"/>
    </row>
    <row r="405" spans="1:21" s="1" customFormat="1" ht="66" customHeight="1" x14ac:dyDescent="0.35">
      <c r="A405" s="568"/>
      <c r="B405" s="573"/>
      <c r="C405" s="19" t="s">
        <v>38</v>
      </c>
      <c r="D405" s="41" t="s">
        <v>208</v>
      </c>
      <c r="E405" s="19" t="s">
        <v>18</v>
      </c>
      <c r="F405" s="19">
        <v>100</v>
      </c>
      <c r="G405" s="19">
        <v>100</v>
      </c>
      <c r="H405" s="24">
        <f>IF(G405/F405*100&gt;100,100,G405/F405*100)</f>
        <v>100</v>
      </c>
      <c r="I405" s="19"/>
      <c r="J405" s="19" t="s">
        <v>38</v>
      </c>
      <c r="K405" s="455" t="s">
        <v>223</v>
      </c>
      <c r="L405" s="19" t="s">
        <v>158</v>
      </c>
      <c r="M405" s="19"/>
      <c r="N405" s="19"/>
      <c r="O405" s="24"/>
      <c r="P405" s="468"/>
      <c r="Q405" s="35"/>
      <c r="R405" s="19"/>
      <c r="S405" s="586"/>
      <c r="T405" s="2"/>
    </row>
    <row r="406" spans="1:21" s="1" customFormat="1" ht="41.25" customHeight="1" x14ac:dyDescent="0.35">
      <c r="A406" s="568"/>
      <c r="B406" s="573"/>
      <c r="C406" s="19"/>
      <c r="D406" s="41"/>
      <c r="E406" s="19"/>
      <c r="F406" s="477"/>
      <c r="G406" s="477"/>
      <c r="H406" s="24"/>
      <c r="I406" s="19"/>
      <c r="J406" s="19" t="s">
        <v>234</v>
      </c>
      <c r="K406" s="455" t="s">
        <v>229</v>
      </c>
      <c r="L406" s="19" t="s">
        <v>158</v>
      </c>
      <c r="M406" s="19">
        <v>374</v>
      </c>
      <c r="N406" s="19">
        <v>374</v>
      </c>
      <c r="O406" s="24">
        <f>IF(N406/M406*100&gt;110,110,N406/M406*100)</f>
        <v>100</v>
      </c>
      <c r="P406" s="468"/>
      <c r="Q406" s="35"/>
      <c r="R406" s="19"/>
      <c r="S406" s="586"/>
      <c r="T406" s="2"/>
    </row>
    <row r="407" spans="1:21" s="1" customFormat="1" ht="41.25" customHeight="1" x14ac:dyDescent="0.35">
      <c r="A407" s="582"/>
      <c r="B407" s="574"/>
      <c r="C407" s="20"/>
      <c r="D407" s="466" t="s">
        <v>644</v>
      </c>
      <c r="E407" s="465"/>
      <c r="F407" s="20"/>
      <c r="G407" s="20"/>
      <c r="H407" s="18"/>
      <c r="I407" s="18">
        <f>H405</f>
        <v>100</v>
      </c>
      <c r="J407" s="128"/>
      <c r="K407" s="466" t="s">
        <v>644</v>
      </c>
      <c r="L407" s="20"/>
      <c r="M407" s="124"/>
      <c r="N407" s="124"/>
      <c r="O407" s="18"/>
      <c r="P407" s="18">
        <f>O406</f>
        <v>100</v>
      </c>
      <c r="Q407" s="18">
        <f>(I407+P407)/2</f>
        <v>100</v>
      </c>
      <c r="R407" s="465" t="s">
        <v>25</v>
      </c>
      <c r="S407" s="587"/>
      <c r="T407" s="2"/>
    </row>
    <row r="408" spans="1:21" s="1" customFormat="1" ht="72.75" customHeight="1" x14ac:dyDescent="0.35">
      <c r="A408" s="567">
        <v>28</v>
      </c>
      <c r="B408" s="571" t="s">
        <v>91</v>
      </c>
      <c r="C408" s="454" t="s">
        <v>13</v>
      </c>
      <c r="D408" s="59" t="s">
        <v>14</v>
      </c>
      <c r="E408" s="454"/>
      <c r="F408" s="454"/>
      <c r="G408" s="454"/>
      <c r="H408" s="35"/>
      <c r="I408" s="35"/>
      <c r="J408" s="454" t="s">
        <v>13</v>
      </c>
      <c r="K408" s="59" t="s">
        <v>14</v>
      </c>
      <c r="L408" s="19"/>
      <c r="M408" s="19"/>
      <c r="N408" s="19"/>
      <c r="O408" s="35"/>
      <c r="P408" s="468"/>
      <c r="Q408" s="35"/>
      <c r="R408" s="19"/>
      <c r="S408" s="584" t="s">
        <v>15</v>
      </c>
      <c r="T408" s="2"/>
    </row>
    <row r="409" spans="1:21" s="1" customFormat="1" ht="33" x14ac:dyDescent="0.35">
      <c r="A409" s="568"/>
      <c r="B409" s="572"/>
      <c r="C409" s="19" t="s">
        <v>16</v>
      </c>
      <c r="D409" s="41" t="s">
        <v>17</v>
      </c>
      <c r="E409" s="19" t="s">
        <v>18</v>
      </c>
      <c r="F409" s="19">
        <v>95</v>
      </c>
      <c r="G409" s="19">
        <v>98.9</v>
      </c>
      <c r="H409" s="24">
        <f>IF(G409/F409*100&gt;100,100,G409/F409*100)</f>
        <v>100</v>
      </c>
      <c r="I409" s="19"/>
      <c r="J409" s="19" t="s">
        <v>16</v>
      </c>
      <c r="K409" s="41" t="s">
        <v>43</v>
      </c>
      <c r="L409" s="19" t="s">
        <v>20</v>
      </c>
      <c r="M409" s="19">
        <v>42</v>
      </c>
      <c r="N409" s="19">
        <v>42</v>
      </c>
      <c r="O409" s="24">
        <f>IF(N409/M409*100&gt;110,110,N409/M409*100)</f>
        <v>100</v>
      </c>
      <c r="P409" s="468"/>
      <c r="Q409" s="35"/>
      <c r="R409" s="19"/>
      <c r="S409" s="585"/>
      <c r="T409" s="2"/>
    </row>
    <row r="410" spans="1:21" s="1" customFormat="1" ht="33" x14ac:dyDescent="0.35">
      <c r="A410" s="568"/>
      <c r="B410" s="572"/>
      <c r="C410" s="19"/>
      <c r="D410" s="41"/>
      <c r="E410" s="19"/>
      <c r="F410" s="19"/>
      <c r="G410" s="19"/>
      <c r="H410" s="24"/>
      <c r="I410" s="19"/>
      <c r="J410" s="19" t="s">
        <v>21</v>
      </c>
      <c r="K410" s="41" t="s">
        <v>29</v>
      </c>
      <c r="L410" s="19" t="s">
        <v>20</v>
      </c>
      <c r="M410" s="19">
        <v>152</v>
      </c>
      <c r="N410" s="19">
        <v>152</v>
      </c>
      <c r="O410" s="24">
        <f>IF(N410/M410*100&gt;110,110,N410/M410*100)</f>
        <v>100</v>
      </c>
      <c r="P410" s="468"/>
      <c r="Q410" s="35"/>
      <c r="R410" s="19"/>
      <c r="S410" s="585"/>
      <c r="T410" s="2"/>
    </row>
    <row r="411" spans="1:21" s="1" customFormat="1" x14ac:dyDescent="0.35">
      <c r="A411" s="568"/>
      <c r="B411" s="572"/>
      <c r="C411" s="19"/>
      <c r="D411" s="41"/>
      <c r="E411" s="19"/>
      <c r="F411" s="19"/>
      <c r="G411" s="19"/>
      <c r="H411" s="24"/>
      <c r="I411" s="19"/>
      <c r="J411" s="19" t="s">
        <v>23</v>
      </c>
      <c r="K411" s="41" t="s">
        <v>72</v>
      </c>
      <c r="L411" s="19" t="s">
        <v>20</v>
      </c>
      <c r="M411" s="19">
        <v>42</v>
      </c>
      <c r="N411" s="19">
        <v>42</v>
      </c>
      <c r="O411" s="24">
        <v>100</v>
      </c>
      <c r="P411" s="468"/>
      <c r="Q411" s="35"/>
      <c r="R411" s="19"/>
      <c r="S411" s="585"/>
      <c r="T411" s="2"/>
    </row>
    <row r="412" spans="1:21" s="1" customFormat="1" ht="56.25" customHeight="1" x14ac:dyDescent="0.35">
      <c r="A412" s="568"/>
      <c r="B412" s="572"/>
      <c r="C412" s="128"/>
      <c r="D412" s="466" t="s">
        <v>644</v>
      </c>
      <c r="E412" s="20"/>
      <c r="F412" s="127"/>
      <c r="G412" s="126"/>
      <c r="H412" s="18"/>
      <c r="I412" s="18">
        <f>H409</f>
        <v>100</v>
      </c>
      <c r="J412" s="20"/>
      <c r="K412" s="466" t="s">
        <v>644</v>
      </c>
      <c r="L412" s="20"/>
      <c r="M412" s="124"/>
      <c r="N412" s="124"/>
      <c r="O412" s="18"/>
      <c r="P412" s="18">
        <f>(O409+O410+O411)/3</f>
        <v>100</v>
      </c>
      <c r="Q412" s="18">
        <f>(I412+P412)/2</f>
        <v>100</v>
      </c>
      <c r="R412" s="465" t="s">
        <v>25</v>
      </c>
      <c r="S412" s="585"/>
      <c r="T412" s="2"/>
      <c r="U412" s="3"/>
    </row>
    <row r="413" spans="1:21" s="1" customFormat="1" ht="42" customHeight="1" x14ac:dyDescent="0.35">
      <c r="A413" s="568"/>
      <c r="B413" s="572"/>
      <c r="C413" s="454" t="s">
        <v>26</v>
      </c>
      <c r="D413" s="59" t="s">
        <v>27</v>
      </c>
      <c r="E413" s="19"/>
      <c r="F413" s="19"/>
      <c r="G413" s="19"/>
      <c r="H413" s="35"/>
      <c r="I413" s="35"/>
      <c r="J413" s="454" t="s">
        <v>26</v>
      </c>
      <c r="K413" s="59" t="s">
        <v>27</v>
      </c>
      <c r="L413" s="19"/>
      <c r="M413" s="476"/>
      <c r="N413" s="476"/>
      <c r="O413" s="35"/>
      <c r="P413" s="468"/>
      <c r="Q413" s="35"/>
      <c r="R413" s="19"/>
      <c r="S413" s="585"/>
      <c r="T413" s="2"/>
    </row>
    <row r="414" spans="1:21" s="1" customFormat="1" ht="33" x14ac:dyDescent="0.35">
      <c r="A414" s="568"/>
      <c r="B414" s="572"/>
      <c r="C414" s="19" t="s">
        <v>28</v>
      </c>
      <c r="D414" s="41" t="s">
        <v>17</v>
      </c>
      <c r="E414" s="19" t="s">
        <v>18</v>
      </c>
      <c r="F414" s="19">
        <v>95</v>
      </c>
      <c r="G414" s="19">
        <v>99.6</v>
      </c>
      <c r="H414" s="24">
        <f>IF(G414/F414*100&gt;100,100,G414/F414*100)</f>
        <v>100</v>
      </c>
      <c r="I414" s="19"/>
      <c r="J414" s="578" t="s">
        <v>28</v>
      </c>
      <c r="K414" s="580" t="s">
        <v>53</v>
      </c>
      <c r="L414" s="575" t="s">
        <v>20</v>
      </c>
      <c r="M414" s="575">
        <v>231</v>
      </c>
      <c r="N414" s="575">
        <v>231</v>
      </c>
      <c r="O414" s="577">
        <f>IF(N414/M414*100&gt;110,110,N414/M414*100)</f>
        <v>100</v>
      </c>
      <c r="P414" s="603"/>
      <c r="Q414" s="590"/>
      <c r="R414" s="575"/>
      <c r="S414" s="585"/>
      <c r="T414" s="2"/>
    </row>
    <row r="415" spans="1:21" s="1" customFormat="1" ht="33" x14ac:dyDescent="0.35">
      <c r="A415" s="568"/>
      <c r="B415" s="572"/>
      <c r="C415" s="19" t="s">
        <v>30</v>
      </c>
      <c r="D415" s="41" t="s">
        <v>31</v>
      </c>
      <c r="E415" s="19" t="s">
        <v>32</v>
      </c>
      <c r="F415" s="19">
        <v>35</v>
      </c>
      <c r="G415" s="19">
        <v>20.6</v>
      </c>
      <c r="H415" s="24">
        <f>IF(F415/G415*100&gt;100,100,F415/G415*100)</f>
        <v>100</v>
      </c>
      <c r="I415" s="19"/>
      <c r="J415" s="576"/>
      <c r="K415" s="601"/>
      <c r="L415" s="576"/>
      <c r="M415" s="576"/>
      <c r="N415" s="576"/>
      <c r="O415" s="576"/>
      <c r="P415" s="604"/>
      <c r="Q415" s="576"/>
      <c r="R415" s="576"/>
      <c r="S415" s="585"/>
      <c r="T415" s="2"/>
    </row>
    <row r="416" spans="1:21" s="1" customFormat="1" x14ac:dyDescent="0.35">
      <c r="A416" s="568"/>
      <c r="B416" s="572"/>
      <c r="C416" s="19"/>
      <c r="D416" s="41"/>
      <c r="E416" s="19"/>
      <c r="F416" s="19"/>
      <c r="G416" s="19"/>
      <c r="H416" s="24"/>
      <c r="I416" s="19"/>
      <c r="J416" s="129" t="s">
        <v>34</v>
      </c>
      <c r="K416" s="41" t="s">
        <v>35</v>
      </c>
      <c r="L416" s="19" t="s">
        <v>20</v>
      </c>
      <c r="M416" s="19">
        <v>3</v>
      </c>
      <c r="N416" s="19">
        <v>3</v>
      </c>
      <c r="O416" s="24">
        <f>IF(N416/M416*100&gt;110,110,N416/M416*100)</f>
        <v>100</v>
      </c>
      <c r="P416" s="468"/>
      <c r="Q416" s="35"/>
      <c r="R416" s="19"/>
      <c r="S416" s="585"/>
      <c r="T416" s="2"/>
    </row>
    <row r="417" spans="1:21" s="1" customFormat="1" ht="54.75" customHeight="1" x14ac:dyDescent="0.35">
      <c r="A417" s="568"/>
      <c r="B417" s="572"/>
      <c r="C417" s="128"/>
      <c r="D417" s="466" t="s">
        <v>644</v>
      </c>
      <c r="E417" s="20"/>
      <c r="F417" s="127"/>
      <c r="G417" s="126"/>
      <c r="H417" s="18"/>
      <c r="I417" s="18">
        <f>(H414+H415)/2</f>
        <v>100</v>
      </c>
      <c r="J417" s="20"/>
      <c r="K417" s="466" t="s">
        <v>644</v>
      </c>
      <c r="L417" s="20"/>
      <c r="M417" s="124"/>
      <c r="N417" s="124"/>
      <c r="O417" s="18"/>
      <c r="P417" s="18">
        <f>(O416+O414)/2</f>
        <v>100</v>
      </c>
      <c r="Q417" s="18">
        <f>(I417+P417)/2</f>
        <v>100</v>
      </c>
      <c r="R417" s="465" t="s">
        <v>25</v>
      </c>
      <c r="S417" s="585"/>
      <c r="T417" s="2"/>
      <c r="U417" s="3"/>
    </row>
    <row r="418" spans="1:21" s="1" customFormat="1" ht="54.75" customHeight="1" x14ac:dyDescent="0.35">
      <c r="A418" s="568"/>
      <c r="B418" s="573"/>
      <c r="C418" s="454" t="s">
        <v>36</v>
      </c>
      <c r="D418" s="59" t="s">
        <v>130</v>
      </c>
      <c r="E418" s="454"/>
      <c r="F418" s="454"/>
      <c r="G418" s="454"/>
      <c r="H418" s="35"/>
      <c r="I418" s="35"/>
      <c r="J418" s="454" t="s">
        <v>36</v>
      </c>
      <c r="K418" s="59" t="s">
        <v>130</v>
      </c>
      <c r="L418" s="19"/>
      <c r="M418" s="19"/>
      <c r="N418" s="19"/>
      <c r="O418" s="35"/>
      <c r="P418" s="35"/>
      <c r="Q418" s="35"/>
      <c r="R418" s="19"/>
      <c r="S418" s="586"/>
      <c r="T418" s="2"/>
      <c r="U418" s="3"/>
    </row>
    <row r="419" spans="1:21" s="1" customFormat="1" ht="54.75" customHeight="1" x14ac:dyDescent="0.35">
      <c r="A419" s="568"/>
      <c r="B419" s="573"/>
      <c r="C419" s="19" t="s">
        <v>38</v>
      </c>
      <c r="D419" s="41" t="s">
        <v>208</v>
      </c>
      <c r="E419" s="19" t="s">
        <v>18</v>
      </c>
      <c r="F419" s="19">
        <v>100</v>
      </c>
      <c r="G419" s="19">
        <v>100</v>
      </c>
      <c r="H419" s="24">
        <f>IF(G419/F419*100&gt;100,100,G419/F419*100)</f>
        <v>100</v>
      </c>
      <c r="I419" s="19"/>
      <c r="J419" s="19" t="s">
        <v>38</v>
      </c>
      <c r="K419" s="455" t="s">
        <v>223</v>
      </c>
      <c r="L419" s="19" t="s">
        <v>158</v>
      </c>
      <c r="M419" s="19"/>
      <c r="N419" s="19"/>
      <c r="O419" s="24"/>
      <c r="P419" s="468"/>
      <c r="Q419" s="35"/>
      <c r="R419" s="19"/>
      <c r="S419" s="586"/>
      <c r="T419" s="2"/>
      <c r="U419" s="3"/>
    </row>
    <row r="420" spans="1:21" s="1" customFormat="1" ht="54.75" customHeight="1" x14ac:dyDescent="0.35">
      <c r="A420" s="568"/>
      <c r="B420" s="573"/>
      <c r="C420" s="19"/>
      <c r="D420" s="41"/>
      <c r="E420" s="19"/>
      <c r="F420" s="477"/>
      <c r="G420" s="477"/>
      <c r="H420" s="24"/>
      <c r="I420" s="19"/>
      <c r="J420" s="19" t="s">
        <v>234</v>
      </c>
      <c r="K420" s="455" t="s">
        <v>293</v>
      </c>
      <c r="L420" s="19" t="s">
        <v>158</v>
      </c>
      <c r="M420" s="19">
        <v>374</v>
      </c>
      <c r="N420" s="19">
        <v>374</v>
      </c>
      <c r="O420" s="24">
        <f>IF(N420/M420*100&gt;110,110,N420/M420*100)</f>
        <v>100</v>
      </c>
      <c r="P420" s="468"/>
      <c r="Q420" s="35"/>
      <c r="R420" s="19"/>
      <c r="S420" s="586"/>
      <c r="T420" s="2"/>
      <c r="U420" s="3"/>
    </row>
    <row r="421" spans="1:21" s="1" customFormat="1" ht="54.75" customHeight="1" x14ac:dyDescent="0.35">
      <c r="A421" s="582"/>
      <c r="B421" s="574"/>
      <c r="C421" s="20"/>
      <c r="D421" s="466" t="s">
        <v>644</v>
      </c>
      <c r="E421" s="465"/>
      <c r="F421" s="20"/>
      <c r="G421" s="20"/>
      <c r="H421" s="18"/>
      <c r="I421" s="18">
        <f>H419</f>
        <v>100</v>
      </c>
      <c r="J421" s="128"/>
      <c r="K421" s="466" t="s">
        <v>644</v>
      </c>
      <c r="L421" s="20"/>
      <c r="M421" s="124"/>
      <c r="N421" s="124"/>
      <c r="O421" s="18"/>
      <c r="P421" s="18">
        <f>O420</f>
        <v>100</v>
      </c>
      <c r="Q421" s="18">
        <f>(I421+P421)/2</f>
        <v>100</v>
      </c>
      <c r="R421" s="465" t="s">
        <v>25</v>
      </c>
      <c r="S421" s="587"/>
      <c r="T421" s="2"/>
      <c r="U421" s="3"/>
    </row>
    <row r="422" spans="1:21" s="1" customFormat="1" ht="75" customHeight="1" x14ac:dyDescent="0.35">
      <c r="A422" s="567">
        <v>29</v>
      </c>
      <c r="B422" s="571" t="s">
        <v>92</v>
      </c>
      <c r="C422" s="454" t="s">
        <v>13</v>
      </c>
      <c r="D422" s="59" t="s">
        <v>14</v>
      </c>
      <c r="E422" s="454"/>
      <c r="F422" s="454"/>
      <c r="G422" s="454"/>
      <c r="H422" s="35"/>
      <c r="I422" s="35"/>
      <c r="J422" s="454" t="s">
        <v>13</v>
      </c>
      <c r="K422" s="59" t="s">
        <v>14</v>
      </c>
      <c r="L422" s="19"/>
      <c r="M422" s="19"/>
      <c r="N422" s="19"/>
      <c r="O422" s="35"/>
      <c r="P422" s="468"/>
      <c r="Q422" s="35"/>
      <c r="R422" s="19"/>
      <c r="S422" s="584" t="s">
        <v>15</v>
      </c>
      <c r="T422" s="2"/>
    </row>
    <row r="423" spans="1:21" s="1" customFormat="1" ht="33" x14ac:dyDescent="0.35">
      <c r="A423" s="568"/>
      <c r="B423" s="572"/>
      <c r="C423" s="19" t="s">
        <v>16</v>
      </c>
      <c r="D423" s="41" t="s">
        <v>17</v>
      </c>
      <c r="E423" s="19" t="s">
        <v>18</v>
      </c>
      <c r="F423" s="19">
        <v>95</v>
      </c>
      <c r="G423" s="19">
        <v>100</v>
      </c>
      <c r="H423" s="24">
        <f>IF(G423/F423*100&gt;100,100,G423/F423*100)</f>
        <v>100</v>
      </c>
      <c r="I423" s="19"/>
      <c r="J423" s="19" t="s">
        <v>16</v>
      </c>
      <c r="K423" s="41" t="s">
        <v>43</v>
      </c>
      <c r="L423" s="19" t="s">
        <v>20</v>
      </c>
      <c r="M423" s="19">
        <v>149</v>
      </c>
      <c r="N423" s="19">
        <v>149</v>
      </c>
      <c r="O423" s="24">
        <f>IF(N423/M423*100&gt;110,110,N423/M423*100)</f>
        <v>100</v>
      </c>
      <c r="P423" s="468"/>
      <c r="Q423" s="35"/>
      <c r="R423" s="19"/>
      <c r="S423" s="585"/>
      <c r="T423" s="2"/>
    </row>
    <row r="424" spans="1:21" s="1" customFormat="1" ht="33" x14ac:dyDescent="0.35">
      <c r="A424" s="568"/>
      <c r="B424" s="572"/>
      <c r="C424" s="19"/>
      <c r="D424" s="41"/>
      <c r="E424" s="19"/>
      <c r="F424" s="19"/>
      <c r="G424" s="19"/>
      <c r="H424" s="24"/>
      <c r="I424" s="19"/>
      <c r="J424" s="19" t="s">
        <v>21</v>
      </c>
      <c r="K424" s="41" t="s">
        <v>29</v>
      </c>
      <c r="L424" s="19" t="s">
        <v>20</v>
      </c>
      <c r="M424" s="19">
        <v>291</v>
      </c>
      <c r="N424" s="19">
        <v>291</v>
      </c>
      <c r="O424" s="24">
        <f>IF(N424/M424*100&gt;110,110,N424/M424*100)</f>
        <v>100</v>
      </c>
      <c r="P424" s="468"/>
      <c r="Q424" s="35"/>
      <c r="R424" s="19"/>
      <c r="S424" s="585"/>
      <c r="T424" s="2"/>
    </row>
    <row r="425" spans="1:21" s="1" customFormat="1" x14ac:dyDescent="0.35">
      <c r="A425" s="568"/>
      <c r="B425" s="572"/>
      <c r="C425" s="19"/>
      <c r="D425" s="41"/>
      <c r="E425" s="19"/>
      <c r="F425" s="19"/>
      <c r="G425" s="19"/>
      <c r="H425" s="24"/>
      <c r="I425" s="19"/>
      <c r="J425" s="19" t="s">
        <v>23</v>
      </c>
      <c r="K425" s="41" t="s">
        <v>72</v>
      </c>
      <c r="L425" s="19" t="s">
        <v>20</v>
      </c>
      <c r="M425" s="19">
        <v>39</v>
      </c>
      <c r="N425" s="19">
        <v>39</v>
      </c>
      <c r="O425" s="24">
        <f>IF(N425/M425*100&gt;110,110,N425/M425*100)</f>
        <v>100</v>
      </c>
      <c r="P425" s="468"/>
      <c r="Q425" s="35"/>
      <c r="R425" s="19"/>
      <c r="S425" s="585"/>
      <c r="T425" s="2"/>
    </row>
    <row r="426" spans="1:21" s="1" customFormat="1" ht="54.75" customHeight="1" x14ac:dyDescent="0.35">
      <c r="A426" s="568"/>
      <c r="B426" s="572"/>
      <c r="C426" s="128"/>
      <c r="D426" s="466" t="s">
        <v>644</v>
      </c>
      <c r="E426" s="20"/>
      <c r="F426" s="127"/>
      <c r="G426" s="126"/>
      <c r="H426" s="18"/>
      <c r="I426" s="18">
        <f>H423</f>
        <v>100</v>
      </c>
      <c r="J426" s="20"/>
      <c r="K426" s="466" t="s">
        <v>644</v>
      </c>
      <c r="L426" s="20"/>
      <c r="M426" s="124"/>
      <c r="N426" s="124"/>
      <c r="O426" s="18"/>
      <c r="P426" s="18">
        <f>(O425+O423+O424)/3</f>
        <v>100</v>
      </c>
      <c r="Q426" s="18">
        <f>(I426+P426)/2</f>
        <v>100</v>
      </c>
      <c r="R426" s="465" t="s">
        <v>25</v>
      </c>
      <c r="S426" s="585"/>
      <c r="T426" s="2"/>
      <c r="U426" s="3"/>
    </row>
    <row r="427" spans="1:21" s="1" customFormat="1" ht="36.75" customHeight="1" x14ac:dyDescent="0.35">
      <c r="A427" s="568"/>
      <c r="B427" s="572"/>
      <c r="C427" s="454" t="s">
        <v>26</v>
      </c>
      <c r="D427" s="59" t="s">
        <v>27</v>
      </c>
      <c r="E427" s="19"/>
      <c r="F427" s="19"/>
      <c r="G427" s="19"/>
      <c r="H427" s="35"/>
      <c r="I427" s="35"/>
      <c r="J427" s="454" t="s">
        <v>26</v>
      </c>
      <c r="K427" s="59" t="s">
        <v>27</v>
      </c>
      <c r="L427" s="19"/>
      <c r="M427" s="476"/>
      <c r="N427" s="476"/>
      <c r="O427" s="35"/>
      <c r="P427" s="468"/>
      <c r="Q427" s="35"/>
      <c r="R427" s="19"/>
      <c r="S427" s="585"/>
      <c r="T427" s="2"/>
    </row>
    <row r="428" spans="1:21" s="1" customFormat="1" ht="73.5" customHeight="1" x14ac:dyDescent="0.35">
      <c r="A428" s="568"/>
      <c r="B428" s="572"/>
      <c r="C428" s="19" t="s">
        <v>28</v>
      </c>
      <c r="D428" s="41" t="s">
        <v>17</v>
      </c>
      <c r="E428" s="19" t="s">
        <v>18</v>
      </c>
      <c r="F428" s="19">
        <v>95</v>
      </c>
      <c r="G428" s="19">
        <v>100</v>
      </c>
      <c r="H428" s="24">
        <f>IF(G428/F428*100&gt;100,100,G428/F428*100)</f>
        <v>100</v>
      </c>
      <c r="I428" s="19"/>
      <c r="J428" s="129" t="s">
        <v>28</v>
      </c>
      <c r="K428" s="41" t="s">
        <v>53</v>
      </c>
      <c r="L428" s="19" t="s">
        <v>20</v>
      </c>
      <c r="M428" s="19">
        <v>463</v>
      </c>
      <c r="N428" s="19">
        <v>463</v>
      </c>
      <c r="O428" s="24">
        <f>IF(N428/M428*100&gt;110,110,N428/M428*100)</f>
        <v>100</v>
      </c>
      <c r="P428" s="468"/>
      <c r="Q428" s="35"/>
      <c r="R428" s="19"/>
      <c r="S428" s="585"/>
      <c r="T428" s="2"/>
    </row>
    <row r="429" spans="1:21" s="1" customFormat="1" ht="77.25" customHeight="1" x14ac:dyDescent="0.35">
      <c r="A429" s="568"/>
      <c r="B429" s="572"/>
      <c r="C429" s="19" t="s">
        <v>30</v>
      </c>
      <c r="D429" s="41" t="s">
        <v>31</v>
      </c>
      <c r="E429" s="19" t="s">
        <v>32</v>
      </c>
      <c r="F429" s="19">
        <v>35</v>
      </c>
      <c r="G429" s="19">
        <v>27.8</v>
      </c>
      <c r="H429" s="24">
        <f>IF(F429/G429*100&gt;100,100,F429/G429*100)</f>
        <v>100</v>
      </c>
      <c r="I429" s="19"/>
      <c r="J429" s="129" t="s">
        <v>30</v>
      </c>
      <c r="K429" s="41" t="s">
        <v>35</v>
      </c>
      <c r="L429" s="19" t="s">
        <v>20</v>
      </c>
      <c r="M429" s="19">
        <v>7</v>
      </c>
      <c r="N429" s="19">
        <v>7</v>
      </c>
      <c r="O429" s="24">
        <f>IF(N429/M429*100&gt;110,110,N429/M429*100)</f>
        <v>100</v>
      </c>
      <c r="P429" s="468"/>
      <c r="Q429" s="35"/>
      <c r="R429" s="19"/>
      <c r="S429" s="585"/>
      <c r="T429" s="2"/>
    </row>
    <row r="430" spans="1:21" s="1" customFormat="1" ht="77.25" customHeight="1" x14ac:dyDescent="0.35">
      <c r="A430" s="568"/>
      <c r="B430" s="572"/>
      <c r="C430" s="19"/>
      <c r="D430" s="41"/>
      <c r="E430" s="19"/>
      <c r="F430" s="19"/>
      <c r="G430" s="19"/>
      <c r="H430" s="24"/>
      <c r="I430" s="19"/>
      <c r="J430" s="129" t="s">
        <v>34</v>
      </c>
      <c r="K430" s="41" t="s">
        <v>93</v>
      </c>
      <c r="L430" s="19" t="s">
        <v>20</v>
      </c>
      <c r="M430" s="19">
        <v>9</v>
      </c>
      <c r="N430" s="19">
        <v>9</v>
      </c>
      <c r="O430" s="24">
        <f>IF(N430/M430*100&gt;110,110,N430/M430*100)</f>
        <v>100</v>
      </c>
      <c r="P430" s="468"/>
      <c r="Q430" s="35"/>
      <c r="R430" s="19"/>
      <c r="S430" s="585"/>
      <c r="T430" s="2"/>
    </row>
    <row r="431" spans="1:21" s="1" customFormat="1" ht="60" customHeight="1" x14ac:dyDescent="0.35">
      <c r="A431" s="568"/>
      <c r="B431" s="572"/>
      <c r="C431" s="465"/>
      <c r="D431" s="466" t="s">
        <v>644</v>
      </c>
      <c r="E431" s="465"/>
      <c r="F431" s="20"/>
      <c r="G431" s="20"/>
      <c r="H431" s="18"/>
      <c r="I431" s="18">
        <f>(H428+H429)/2</f>
        <v>100</v>
      </c>
      <c r="J431" s="128"/>
      <c r="K431" s="466" t="s">
        <v>644</v>
      </c>
      <c r="L431" s="20"/>
      <c r="M431" s="124"/>
      <c r="N431" s="124"/>
      <c r="O431" s="18"/>
      <c r="P431" s="18">
        <f>(O428+O429+O430)/3</f>
        <v>100</v>
      </c>
      <c r="Q431" s="18">
        <f>(I431+P431)/2</f>
        <v>100</v>
      </c>
      <c r="R431" s="465" t="s">
        <v>25</v>
      </c>
      <c r="S431" s="585"/>
      <c r="T431" s="2"/>
    </row>
    <row r="432" spans="1:21" s="1" customFormat="1" ht="60" customHeight="1" x14ac:dyDescent="0.35">
      <c r="A432" s="568"/>
      <c r="B432" s="573"/>
      <c r="C432" s="454" t="s">
        <v>36</v>
      </c>
      <c r="D432" s="59" t="s">
        <v>130</v>
      </c>
      <c r="E432" s="454"/>
      <c r="F432" s="454"/>
      <c r="G432" s="454"/>
      <c r="H432" s="35"/>
      <c r="I432" s="35"/>
      <c r="J432" s="454" t="s">
        <v>36</v>
      </c>
      <c r="K432" s="59" t="s">
        <v>130</v>
      </c>
      <c r="L432" s="19"/>
      <c r="M432" s="19"/>
      <c r="N432" s="19"/>
      <c r="O432" s="35"/>
      <c r="P432" s="35"/>
      <c r="Q432" s="35"/>
      <c r="R432" s="19"/>
      <c r="S432" s="586"/>
      <c r="T432" s="2"/>
    </row>
    <row r="433" spans="1:21" s="1" customFormat="1" ht="60" customHeight="1" x14ac:dyDescent="0.35">
      <c r="A433" s="568"/>
      <c r="B433" s="573"/>
      <c r="C433" s="19" t="s">
        <v>38</v>
      </c>
      <c r="D433" s="41" t="s">
        <v>208</v>
      </c>
      <c r="E433" s="19" t="s">
        <v>18</v>
      </c>
      <c r="F433" s="19">
        <v>100</v>
      </c>
      <c r="G433" s="19">
        <v>100</v>
      </c>
      <c r="H433" s="24">
        <f>IF(G433/F433*100&gt;100,100,G433/F433*100)</f>
        <v>100</v>
      </c>
      <c r="I433" s="19"/>
      <c r="J433" s="19" t="s">
        <v>38</v>
      </c>
      <c r="K433" s="455" t="s">
        <v>223</v>
      </c>
      <c r="L433" s="19" t="s">
        <v>158</v>
      </c>
      <c r="M433" s="19"/>
      <c r="N433" s="19"/>
      <c r="O433" s="24"/>
      <c r="P433" s="468"/>
      <c r="Q433" s="35"/>
      <c r="R433" s="19"/>
      <c r="S433" s="586"/>
      <c r="T433" s="2"/>
    </row>
    <row r="434" spans="1:21" s="1" customFormat="1" ht="60" customHeight="1" x14ac:dyDescent="0.35">
      <c r="A434" s="568"/>
      <c r="B434" s="573"/>
      <c r="C434" s="19"/>
      <c r="D434" s="41"/>
      <c r="E434" s="19"/>
      <c r="F434" s="477"/>
      <c r="G434" s="477"/>
      <c r="H434" s="24"/>
      <c r="I434" s="19"/>
      <c r="J434" s="19" t="s">
        <v>234</v>
      </c>
      <c r="K434" s="455" t="s">
        <v>294</v>
      </c>
      <c r="L434" s="19" t="s">
        <v>158</v>
      </c>
      <c r="M434" s="19">
        <v>374</v>
      </c>
      <c r="N434" s="19">
        <v>374</v>
      </c>
      <c r="O434" s="24">
        <f>IF(N434/M434*100&gt;110,110,N434/M434*100)</f>
        <v>100</v>
      </c>
      <c r="P434" s="468"/>
      <c r="Q434" s="35"/>
      <c r="R434" s="19"/>
      <c r="S434" s="586"/>
      <c r="T434" s="2"/>
    </row>
    <row r="435" spans="1:21" s="1" customFormat="1" ht="60" customHeight="1" x14ac:dyDescent="0.35">
      <c r="A435" s="582"/>
      <c r="B435" s="574"/>
      <c r="C435" s="20"/>
      <c r="D435" s="466" t="s">
        <v>644</v>
      </c>
      <c r="E435" s="465"/>
      <c r="F435" s="20"/>
      <c r="G435" s="20"/>
      <c r="H435" s="18"/>
      <c r="I435" s="18">
        <f>H433</f>
        <v>100</v>
      </c>
      <c r="J435" s="128"/>
      <c r="K435" s="466" t="s">
        <v>644</v>
      </c>
      <c r="L435" s="20"/>
      <c r="M435" s="124"/>
      <c r="N435" s="124"/>
      <c r="O435" s="18"/>
      <c r="P435" s="18">
        <f>O434</f>
        <v>100</v>
      </c>
      <c r="Q435" s="18">
        <f>(I435+P435)/2</f>
        <v>100</v>
      </c>
      <c r="R435" s="465" t="s">
        <v>25</v>
      </c>
      <c r="S435" s="587"/>
      <c r="T435" s="2"/>
    </row>
    <row r="436" spans="1:21" s="1" customFormat="1" ht="70.5" customHeight="1" x14ac:dyDescent="0.35">
      <c r="A436" s="567">
        <v>30</v>
      </c>
      <c r="B436" s="571" t="s">
        <v>94</v>
      </c>
      <c r="C436" s="454" t="s">
        <v>13</v>
      </c>
      <c r="D436" s="59" t="s">
        <v>14</v>
      </c>
      <c r="E436" s="454"/>
      <c r="F436" s="454"/>
      <c r="G436" s="454"/>
      <c r="H436" s="35"/>
      <c r="I436" s="35"/>
      <c r="J436" s="454" t="s">
        <v>13</v>
      </c>
      <c r="K436" s="59" t="s">
        <v>14</v>
      </c>
      <c r="L436" s="19"/>
      <c r="M436" s="19"/>
      <c r="N436" s="19"/>
      <c r="O436" s="35"/>
      <c r="P436" s="468"/>
      <c r="Q436" s="35"/>
      <c r="R436" s="19"/>
      <c r="S436" s="584" t="s">
        <v>15</v>
      </c>
      <c r="T436" s="2"/>
    </row>
    <row r="437" spans="1:21" s="1" customFormat="1" ht="33" x14ac:dyDescent="0.35">
      <c r="A437" s="568"/>
      <c r="B437" s="572"/>
      <c r="C437" s="19" t="s">
        <v>16</v>
      </c>
      <c r="D437" s="41" t="s">
        <v>17</v>
      </c>
      <c r="E437" s="19" t="s">
        <v>18</v>
      </c>
      <c r="F437" s="19">
        <v>95</v>
      </c>
      <c r="G437" s="19">
        <v>96.4</v>
      </c>
      <c r="H437" s="24">
        <f>IF(G437/F437*100&gt;100,100,G437/F437*100)</f>
        <v>100</v>
      </c>
      <c r="I437" s="19"/>
      <c r="J437" s="19" t="s">
        <v>16</v>
      </c>
      <c r="K437" s="41" t="s">
        <v>43</v>
      </c>
      <c r="L437" s="19" t="s">
        <v>20</v>
      </c>
      <c r="M437" s="19">
        <v>60</v>
      </c>
      <c r="N437" s="19">
        <v>60</v>
      </c>
      <c r="O437" s="24">
        <f>IF(N437/M437*100&gt;110,110,N437/M437*100)</f>
        <v>100</v>
      </c>
      <c r="P437" s="468"/>
      <c r="Q437" s="35"/>
      <c r="R437" s="19"/>
      <c r="S437" s="585"/>
      <c r="T437" s="2"/>
    </row>
    <row r="438" spans="1:21" s="1" customFormat="1" ht="33" x14ac:dyDescent="0.35">
      <c r="A438" s="568"/>
      <c r="B438" s="572"/>
      <c r="C438" s="19"/>
      <c r="D438" s="41"/>
      <c r="E438" s="19"/>
      <c r="F438" s="19"/>
      <c r="G438" s="19"/>
      <c r="H438" s="24"/>
      <c r="I438" s="19"/>
      <c r="J438" s="19" t="s">
        <v>21</v>
      </c>
      <c r="K438" s="41" t="s">
        <v>29</v>
      </c>
      <c r="L438" s="19" t="s">
        <v>20</v>
      </c>
      <c r="M438" s="19">
        <v>124</v>
      </c>
      <c r="N438" s="19">
        <v>124</v>
      </c>
      <c r="O438" s="24">
        <f>IF(N438/M438*100&gt;110,110,N438/M438*100)</f>
        <v>100</v>
      </c>
      <c r="P438" s="468"/>
      <c r="Q438" s="35"/>
      <c r="R438" s="19"/>
      <c r="S438" s="585"/>
      <c r="T438" s="2"/>
    </row>
    <row r="439" spans="1:21" s="1" customFormat="1" x14ac:dyDescent="0.35">
      <c r="A439" s="568"/>
      <c r="B439" s="572"/>
      <c r="C439" s="19"/>
      <c r="D439" s="41"/>
      <c r="E439" s="19"/>
      <c r="F439" s="19"/>
      <c r="G439" s="19"/>
      <c r="H439" s="24"/>
      <c r="I439" s="19"/>
      <c r="J439" s="19" t="s">
        <v>23</v>
      </c>
      <c r="K439" s="41" t="s">
        <v>72</v>
      </c>
      <c r="L439" s="19" t="s">
        <v>20</v>
      </c>
      <c r="M439" s="19">
        <v>34</v>
      </c>
      <c r="N439" s="19">
        <v>34</v>
      </c>
      <c r="O439" s="24">
        <f>IF(N439/M439*100&gt;110,110,N439/M439*100)</f>
        <v>100</v>
      </c>
      <c r="P439" s="468"/>
      <c r="Q439" s="35"/>
      <c r="R439" s="19"/>
      <c r="S439" s="585"/>
      <c r="T439" s="2"/>
    </row>
    <row r="440" spans="1:21" s="1" customFormat="1" ht="54.75" customHeight="1" x14ac:dyDescent="0.35">
      <c r="A440" s="568"/>
      <c r="B440" s="572"/>
      <c r="C440" s="128"/>
      <c r="D440" s="466" t="s">
        <v>644</v>
      </c>
      <c r="E440" s="20"/>
      <c r="F440" s="127"/>
      <c r="G440" s="126"/>
      <c r="H440" s="18"/>
      <c r="I440" s="18">
        <f>H437</f>
        <v>100</v>
      </c>
      <c r="J440" s="20"/>
      <c r="K440" s="466" t="s">
        <v>644</v>
      </c>
      <c r="L440" s="20"/>
      <c r="M440" s="124"/>
      <c r="N440" s="124"/>
      <c r="O440" s="18"/>
      <c r="P440" s="18">
        <f>(O437+O438+O439)/3</f>
        <v>100</v>
      </c>
      <c r="Q440" s="18">
        <f>(I440+P440)/2</f>
        <v>100</v>
      </c>
      <c r="R440" s="465" t="s">
        <v>25</v>
      </c>
      <c r="S440" s="585"/>
      <c r="T440" s="2"/>
      <c r="U440" s="3"/>
    </row>
    <row r="441" spans="1:21" s="1" customFormat="1" ht="40.5" customHeight="1" x14ac:dyDescent="0.35">
      <c r="A441" s="568"/>
      <c r="B441" s="572"/>
      <c r="C441" s="454" t="s">
        <v>26</v>
      </c>
      <c r="D441" s="59" t="s">
        <v>27</v>
      </c>
      <c r="E441" s="19"/>
      <c r="F441" s="19"/>
      <c r="G441" s="19"/>
      <c r="H441" s="35"/>
      <c r="I441" s="35"/>
      <c r="J441" s="454" t="s">
        <v>26</v>
      </c>
      <c r="K441" s="59" t="s">
        <v>27</v>
      </c>
      <c r="L441" s="19"/>
      <c r="M441" s="476"/>
      <c r="N441" s="476"/>
      <c r="O441" s="35"/>
      <c r="P441" s="468"/>
      <c r="Q441" s="35"/>
      <c r="R441" s="19"/>
      <c r="S441" s="585"/>
      <c r="T441" s="2"/>
    </row>
    <row r="442" spans="1:21" s="1" customFormat="1" ht="33" x14ac:dyDescent="0.35">
      <c r="A442" s="568"/>
      <c r="B442" s="572"/>
      <c r="C442" s="19" t="s">
        <v>28</v>
      </c>
      <c r="D442" s="41" t="s">
        <v>17</v>
      </c>
      <c r="E442" s="19" t="s">
        <v>18</v>
      </c>
      <c r="F442" s="19">
        <v>95</v>
      </c>
      <c r="G442" s="19">
        <v>100</v>
      </c>
      <c r="H442" s="24">
        <f>IF(G442/F442*100&gt;100,100,G442/F442*100)</f>
        <v>100</v>
      </c>
      <c r="I442" s="19"/>
      <c r="J442" s="129" t="s">
        <v>28</v>
      </c>
      <c r="K442" s="41" t="s">
        <v>63</v>
      </c>
      <c r="L442" s="19" t="s">
        <v>20</v>
      </c>
      <c r="M442" s="19">
        <v>210</v>
      </c>
      <c r="N442" s="19">
        <v>210</v>
      </c>
      <c r="O442" s="24">
        <f>IF(N442/M442*100&gt;110,110,N442/M442*100)</f>
        <v>100</v>
      </c>
      <c r="P442" s="468"/>
      <c r="Q442" s="35"/>
      <c r="R442" s="19"/>
      <c r="S442" s="585"/>
      <c r="T442" s="2"/>
    </row>
    <row r="443" spans="1:21" s="1" customFormat="1" ht="33" x14ac:dyDescent="0.35">
      <c r="A443" s="568"/>
      <c r="B443" s="572"/>
      <c r="C443" s="19" t="s">
        <v>30</v>
      </c>
      <c r="D443" s="41" t="s">
        <v>31</v>
      </c>
      <c r="E443" s="19" t="s">
        <v>32</v>
      </c>
      <c r="F443" s="19">
        <v>35</v>
      </c>
      <c r="G443" s="19">
        <v>29.7</v>
      </c>
      <c r="H443" s="24">
        <f>IF(F443/G443*100&gt;100,100,F443/G443*100)</f>
        <v>100</v>
      </c>
      <c r="I443" s="19"/>
      <c r="J443" s="129" t="s">
        <v>30</v>
      </c>
      <c r="K443" s="41" t="s">
        <v>33</v>
      </c>
      <c r="L443" s="19" t="s">
        <v>20</v>
      </c>
      <c r="M443" s="19">
        <v>3</v>
      </c>
      <c r="N443" s="19">
        <v>3</v>
      </c>
      <c r="O443" s="24">
        <v>100</v>
      </c>
      <c r="P443" s="468"/>
      <c r="Q443" s="35"/>
      <c r="R443" s="19"/>
      <c r="S443" s="585"/>
      <c r="T443" s="2"/>
    </row>
    <row r="444" spans="1:21" s="1" customFormat="1" x14ac:dyDescent="0.35">
      <c r="A444" s="568"/>
      <c r="B444" s="572"/>
      <c r="C444" s="19"/>
      <c r="D444" s="41"/>
      <c r="E444" s="19"/>
      <c r="F444" s="19"/>
      <c r="G444" s="19"/>
      <c r="H444" s="24"/>
      <c r="I444" s="19"/>
      <c r="J444" s="129" t="s">
        <v>34</v>
      </c>
      <c r="K444" s="41" t="s">
        <v>35</v>
      </c>
      <c r="L444" s="19" t="s">
        <v>20</v>
      </c>
      <c r="M444" s="19">
        <v>5</v>
      </c>
      <c r="N444" s="19">
        <v>5</v>
      </c>
      <c r="O444" s="24">
        <f>IF(N444/M444*100&gt;110,110,N444/M444*100)</f>
        <v>100</v>
      </c>
      <c r="P444" s="468"/>
      <c r="Q444" s="35"/>
      <c r="R444" s="19"/>
      <c r="S444" s="585"/>
      <c r="T444" s="2"/>
    </row>
    <row r="445" spans="1:21" s="1" customFormat="1" ht="60" customHeight="1" x14ac:dyDescent="0.35">
      <c r="A445" s="568"/>
      <c r="B445" s="572"/>
      <c r="C445" s="465"/>
      <c r="D445" s="466" t="s">
        <v>644</v>
      </c>
      <c r="E445" s="465"/>
      <c r="F445" s="20"/>
      <c r="G445" s="20"/>
      <c r="H445" s="18"/>
      <c r="I445" s="18">
        <f>(H442+H443)/2</f>
        <v>100</v>
      </c>
      <c r="J445" s="128"/>
      <c r="K445" s="466" t="s">
        <v>644</v>
      </c>
      <c r="L445" s="20"/>
      <c r="M445" s="124"/>
      <c r="N445" s="124"/>
      <c r="O445" s="18"/>
      <c r="P445" s="18">
        <f>(O441+O443+O442+O444)/3</f>
        <v>100</v>
      </c>
      <c r="Q445" s="18">
        <f>(I445+P445)/2</f>
        <v>100</v>
      </c>
      <c r="R445" s="465" t="s">
        <v>25</v>
      </c>
      <c r="S445" s="585"/>
      <c r="T445" s="2"/>
    </row>
    <row r="446" spans="1:21" s="1" customFormat="1" ht="60" customHeight="1" x14ac:dyDescent="0.35">
      <c r="A446" s="568"/>
      <c r="B446" s="573"/>
      <c r="C446" s="454" t="s">
        <v>36</v>
      </c>
      <c r="D446" s="59" t="s">
        <v>130</v>
      </c>
      <c r="E446" s="454"/>
      <c r="F446" s="454"/>
      <c r="G446" s="454"/>
      <c r="H446" s="35"/>
      <c r="I446" s="35"/>
      <c r="J446" s="454" t="s">
        <v>36</v>
      </c>
      <c r="K446" s="59" t="s">
        <v>130</v>
      </c>
      <c r="L446" s="19"/>
      <c r="M446" s="19"/>
      <c r="N446" s="19"/>
      <c r="O446" s="35"/>
      <c r="P446" s="35"/>
      <c r="Q446" s="35"/>
      <c r="R446" s="19"/>
      <c r="S446" s="586"/>
      <c r="T446" s="2"/>
    </row>
    <row r="447" spans="1:21" s="1" customFormat="1" ht="60" customHeight="1" x14ac:dyDescent="0.35">
      <c r="A447" s="568"/>
      <c r="B447" s="573"/>
      <c r="C447" s="19" t="s">
        <v>38</v>
      </c>
      <c r="D447" s="41" t="s">
        <v>208</v>
      </c>
      <c r="E447" s="19" t="s">
        <v>18</v>
      </c>
      <c r="F447" s="19">
        <v>100</v>
      </c>
      <c r="G447" s="19">
        <v>100</v>
      </c>
      <c r="H447" s="24">
        <f>IF(G447/F447*100&gt;100,100,G447/F447*100)</f>
        <v>100</v>
      </c>
      <c r="I447" s="19"/>
      <c r="J447" s="19" t="s">
        <v>38</v>
      </c>
      <c r="K447" s="455" t="s">
        <v>223</v>
      </c>
      <c r="L447" s="19" t="s">
        <v>158</v>
      </c>
      <c r="M447" s="19"/>
      <c r="N447" s="19"/>
      <c r="O447" s="24"/>
      <c r="P447" s="468"/>
      <c r="Q447" s="35"/>
      <c r="R447" s="19"/>
      <c r="S447" s="586"/>
      <c r="T447" s="2"/>
    </row>
    <row r="448" spans="1:21" s="1" customFormat="1" ht="57" customHeight="1" x14ac:dyDescent="0.35">
      <c r="A448" s="568"/>
      <c r="B448" s="573"/>
      <c r="C448" s="19"/>
      <c r="D448" s="41"/>
      <c r="E448" s="19"/>
      <c r="F448" s="477"/>
      <c r="G448" s="477"/>
      <c r="H448" s="24"/>
      <c r="I448" s="19"/>
      <c r="J448" s="19" t="s">
        <v>234</v>
      </c>
      <c r="K448" s="455" t="s">
        <v>287</v>
      </c>
      <c r="L448" s="19" t="s">
        <v>158</v>
      </c>
      <c r="M448" s="19">
        <v>374</v>
      </c>
      <c r="N448" s="19">
        <v>374</v>
      </c>
      <c r="O448" s="24">
        <f>IF(N448/M448*100&gt;110,110,N448/M448*100)</f>
        <v>100</v>
      </c>
      <c r="P448" s="468"/>
      <c r="Q448" s="35"/>
      <c r="R448" s="19"/>
      <c r="S448" s="586"/>
      <c r="T448" s="2"/>
    </row>
    <row r="449" spans="1:21" s="1" customFormat="1" ht="47.25" customHeight="1" x14ac:dyDescent="0.35">
      <c r="A449" s="582"/>
      <c r="B449" s="574"/>
      <c r="C449" s="20"/>
      <c r="D449" s="466" t="s">
        <v>644</v>
      </c>
      <c r="E449" s="465"/>
      <c r="F449" s="20"/>
      <c r="G449" s="20"/>
      <c r="H449" s="18"/>
      <c r="I449" s="18">
        <f>H447</f>
        <v>100</v>
      </c>
      <c r="J449" s="128"/>
      <c r="K449" s="466" t="s">
        <v>644</v>
      </c>
      <c r="L449" s="20"/>
      <c r="M449" s="124"/>
      <c r="N449" s="124"/>
      <c r="O449" s="18"/>
      <c r="P449" s="18">
        <f>O448</f>
        <v>100</v>
      </c>
      <c r="Q449" s="18">
        <f>(I449+P449)/2</f>
        <v>100</v>
      </c>
      <c r="R449" s="465" t="s">
        <v>25</v>
      </c>
      <c r="S449" s="587"/>
      <c r="T449" s="2"/>
    </row>
    <row r="450" spans="1:21" s="1" customFormat="1" ht="78.75" customHeight="1" x14ac:dyDescent="0.35">
      <c r="A450" s="567">
        <v>31</v>
      </c>
      <c r="B450" s="571" t="s">
        <v>95</v>
      </c>
      <c r="C450" s="454" t="s">
        <v>13</v>
      </c>
      <c r="D450" s="59" t="s">
        <v>14</v>
      </c>
      <c r="E450" s="454"/>
      <c r="F450" s="454"/>
      <c r="G450" s="454"/>
      <c r="H450" s="35"/>
      <c r="I450" s="35"/>
      <c r="J450" s="454" t="s">
        <v>13</v>
      </c>
      <c r="K450" s="59" t="s">
        <v>14</v>
      </c>
      <c r="L450" s="19"/>
      <c r="M450" s="19"/>
      <c r="N450" s="19"/>
      <c r="O450" s="35"/>
      <c r="P450" s="468"/>
      <c r="Q450" s="35"/>
      <c r="R450" s="19"/>
      <c r="S450" s="584" t="s">
        <v>15</v>
      </c>
      <c r="T450" s="2"/>
    </row>
    <row r="451" spans="1:21" s="1" customFormat="1" ht="33" x14ac:dyDescent="0.35">
      <c r="A451" s="568"/>
      <c r="B451" s="572"/>
      <c r="C451" s="19" t="s">
        <v>16</v>
      </c>
      <c r="D451" s="41" t="s">
        <v>17</v>
      </c>
      <c r="E451" s="19" t="s">
        <v>18</v>
      </c>
      <c r="F451" s="19">
        <v>95</v>
      </c>
      <c r="G451" s="19">
        <v>100</v>
      </c>
      <c r="H451" s="24">
        <f>IF(G451/F451*100&gt;100,100,G451/F451*100)</f>
        <v>100</v>
      </c>
      <c r="I451" s="19"/>
      <c r="J451" s="19" t="s">
        <v>16</v>
      </c>
      <c r="K451" s="41" t="s">
        <v>43</v>
      </c>
      <c r="L451" s="19" t="s">
        <v>20</v>
      </c>
      <c r="M451" s="19">
        <v>44</v>
      </c>
      <c r="N451" s="19">
        <v>44</v>
      </c>
      <c r="O451" s="24">
        <f>IF(N451/M451*100&gt;110,110,N451/M451*100)</f>
        <v>100</v>
      </c>
      <c r="P451" s="468"/>
      <c r="Q451" s="35"/>
      <c r="R451" s="19"/>
      <c r="S451" s="585"/>
      <c r="T451" s="2"/>
    </row>
    <row r="452" spans="1:21" s="1" customFormat="1" ht="33" x14ac:dyDescent="0.35">
      <c r="A452" s="568"/>
      <c r="B452" s="572"/>
      <c r="C452" s="19"/>
      <c r="D452" s="41"/>
      <c r="E452" s="19"/>
      <c r="F452" s="19"/>
      <c r="G452" s="19"/>
      <c r="H452" s="24"/>
      <c r="I452" s="19"/>
      <c r="J452" s="19" t="s">
        <v>21</v>
      </c>
      <c r="K452" s="41" t="s">
        <v>29</v>
      </c>
      <c r="L452" s="19" t="s">
        <v>20</v>
      </c>
      <c r="M452" s="19">
        <v>220</v>
      </c>
      <c r="N452" s="19">
        <v>220</v>
      </c>
      <c r="O452" s="24">
        <f>IF(N452/M452*100&gt;110,110,N452/M452*100)</f>
        <v>100</v>
      </c>
      <c r="P452" s="468"/>
      <c r="Q452" s="35"/>
      <c r="R452" s="19"/>
      <c r="S452" s="585"/>
      <c r="T452" s="2"/>
    </row>
    <row r="453" spans="1:21" s="1" customFormat="1" ht="36" customHeight="1" x14ac:dyDescent="0.35">
      <c r="A453" s="568"/>
      <c r="B453" s="572"/>
      <c r="C453" s="19"/>
      <c r="D453" s="41"/>
      <c r="E453" s="19"/>
      <c r="F453" s="19"/>
      <c r="G453" s="19"/>
      <c r="H453" s="24"/>
      <c r="I453" s="19"/>
      <c r="J453" s="19" t="s">
        <v>23</v>
      </c>
      <c r="K453" s="41" t="s">
        <v>72</v>
      </c>
      <c r="L453" s="19" t="s">
        <v>20</v>
      </c>
      <c r="M453" s="19">
        <v>23</v>
      </c>
      <c r="N453" s="19">
        <v>23</v>
      </c>
      <c r="O453" s="24">
        <f>IF(N453/M453*100&gt;110,110,N453/M453*100)</f>
        <v>100</v>
      </c>
      <c r="P453" s="468"/>
      <c r="Q453" s="35"/>
      <c r="R453" s="19"/>
      <c r="S453" s="585"/>
      <c r="T453" s="2"/>
    </row>
    <row r="454" spans="1:21" s="1" customFormat="1" ht="55.5" customHeight="1" x14ac:dyDescent="0.35">
      <c r="A454" s="568"/>
      <c r="B454" s="572"/>
      <c r="C454" s="465"/>
      <c r="D454" s="466" t="s">
        <v>644</v>
      </c>
      <c r="E454" s="465"/>
      <c r="F454" s="20"/>
      <c r="G454" s="20"/>
      <c r="H454" s="18"/>
      <c r="I454" s="18">
        <f>H451</f>
        <v>100</v>
      </c>
      <c r="J454" s="128"/>
      <c r="K454" s="466" t="s">
        <v>644</v>
      </c>
      <c r="L454" s="20"/>
      <c r="M454" s="124"/>
      <c r="N454" s="124"/>
      <c r="O454" s="18"/>
      <c r="P454" s="18">
        <f>(O451+O452+O453)/3</f>
        <v>100</v>
      </c>
      <c r="Q454" s="18">
        <f>(I454+P454)/2</f>
        <v>100</v>
      </c>
      <c r="R454" s="465" t="s">
        <v>25</v>
      </c>
      <c r="S454" s="585"/>
      <c r="T454" s="2"/>
    </row>
    <row r="455" spans="1:21" s="1" customFormat="1" ht="47.25" customHeight="1" x14ac:dyDescent="0.35">
      <c r="A455" s="568"/>
      <c r="B455" s="572"/>
      <c r="C455" s="454" t="s">
        <v>26</v>
      </c>
      <c r="D455" s="59" t="s">
        <v>27</v>
      </c>
      <c r="E455" s="19"/>
      <c r="F455" s="19"/>
      <c r="G455" s="19"/>
      <c r="H455" s="35"/>
      <c r="I455" s="35"/>
      <c r="J455" s="454" t="s">
        <v>26</v>
      </c>
      <c r="K455" s="59" t="s">
        <v>27</v>
      </c>
      <c r="L455" s="19"/>
      <c r="M455" s="476"/>
      <c r="N455" s="476"/>
      <c r="O455" s="35"/>
      <c r="P455" s="468"/>
      <c r="Q455" s="35"/>
      <c r="R455" s="19"/>
      <c r="S455" s="585"/>
      <c r="T455" s="2"/>
    </row>
    <row r="456" spans="1:21" s="1" customFormat="1" ht="33" x14ac:dyDescent="0.35">
      <c r="A456" s="568"/>
      <c r="B456" s="572"/>
      <c r="C456" s="19" t="s">
        <v>28</v>
      </c>
      <c r="D456" s="41" t="s">
        <v>17</v>
      </c>
      <c r="E456" s="19" t="s">
        <v>18</v>
      </c>
      <c r="F456" s="19">
        <v>95</v>
      </c>
      <c r="G456" s="19">
        <v>100</v>
      </c>
      <c r="H456" s="24">
        <f>IF(G456/F456*100&gt;100,100,G456/F456*100)</f>
        <v>100</v>
      </c>
      <c r="I456" s="19"/>
      <c r="J456" s="129" t="s">
        <v>28</v>
      </c>
      <c r="K456" s="41" t="s">
        <v>63</v>
      </c>
      <c r="L456" s="19" t="s">
        <v>20</v>
      </c>
      <c r="M456" s="19">
        <v>282</v>
      </c>
      <c r="N456" s="19">
        <v>282</v>
      </c>
      <c r="O456" s="24">
        <f>IF(N456/M456*100&gt;110,110,N456/M456*100)</f>
        <v>100</v>
      </c>
      <c r="P456" s="468"/>
      <c r="Q456" s="35"/>
      <c r="R456" s="19"/>
      <c r="S456" s="585"/>
      <c r="T456" s="2"/>
    </row>
    <row r="457" spans="1:21" s="1" customFormat="1" ht="33" x14ac:dyDescent="0.35">
      <c r="A457" s="568"/>
      <c r="B457" s="572"/>
      <c r="C457" s="19" t="s">
        <v>30</v>
      </c>
      <c r="D457" s="41" t="s">
        <v>31</v>
      </c>
      <c r="E457" s="19" t="s">
        <v>32</v>
      </c>
      <c r="F457" s="19">
        <v>35</v>
      </c>
      <c r="G457" s="19">
        <v>8.4</v>
      </c>
      <c r="H457" s="24">
        <f>IF(F457/G457*100&gt;100,100,F457/G457*100)</f>
        <v>100</v>
      </c>
      <c r="I457" s="19"/>
      <c r="J457" s="129" t="s">
        <v>30</v>
      </c>
      <c r="K457" s="41" t="s">
        <v>35</v>
      </c>
      <c r="L457" s="19" t="s">
        <v>20</v>
      </c>
      <c r="M457" s="19">
        <v>3</v>
      </c>
      <c r="N457" s="19">
        <v>3</v>
      </c>
      <c r="O457" s="24">
        <f>IF(N457/M457*100&gt;110,110,N457/M457*100)</f>
        <v>100</v>
      </c>
      <c r="P457" s="468"/>
      <c r="Q457" s="35"/>
      <c r="R457" s="19"/>
      <c r="S457" s="585"/>
      <c r="T457" s="2"/>
    </row>
    <row r="458" spans="1:21" s="1" customFormat="1" ht="33" x14ac:dyDescent="0.35">
      <c r="A458" s="568"/>
      <c r="B458" s="572"/>
      <c r="C458" s="19"/>
      <c r="D458" s="41"/>
      <c r="E458" s="19"/>
      <c r="F458" s="19"/>
      <c r="G458" s="19"/>
      <c r="H458" s="24"/>
      <c r="I458" s="19"/>
      <c r="J458" s="129" t="s">
        <v>34</v>
      </c>
      <c r="K458" s="41" t="s">
        <v>33</v>
      </c>
      <c r="L458" s="19" t="s">
        <v>20</v>
      </c>
      <c r="M458" s="19">
        <v>2</v>
      </c>
      <c r="N458" s="19">
        <v>2</v>
      </c>
      <c r="O458" s="24">
        <v>100</v>
      </c>
      <c r="P458" s="468"/>
      <c r="Q458" s="35"/>
      <c r="R458" s="19"/>
      <c r="S458" s="585"/>
      <c r="T458" s="2"/>
    </row>
    <row r="459" spans="1:21" s="1" customFormat="1" ht="48.75" customHeight="1" x14ac:dyDescent="0.35">
      <c r="A459" s="568"/>
      <c r="B459" s="572"/>
      <c r="C459" s="128"/>
      <c r="D459" s="466" t="s">
        <v>644</v>
      </c>
      <c r="E459" s="20"/>
      <c r="F459" s="127"/>
      <c r="G459" s="126"/>
      <c r="H459" s="18"/>
      <c r="I459" s="18">
        <f>(H456+H457)/2</f>
        <v>100</v>
      </c>
      <c r="J459" s="20"/>
      <c r="K459" s="466" t="s">
        <v>644</v>
      </c>
      <c r="L459" s="20"/>
      <c r="M459" s="124"/>
      <c r="N459" s="124"/>
      <c r="O459" s="18"/>
      <c r="P459" s="18">
        <f>(O456+O457+O458)/3</f>
        <v>100</v>
      </c>
      <c r="Q459" s="18">
        <f>(I459+P459)/2</f>
        <v>100</v>
      </c>
      <c r="R459" s="465" t="s">
        <v>25</v>
      </c>
      <c r="S459" s="585"/>
      <c r="T459" s="2"/>
      <c r="U459" s="3"/>
    </row>
    <row r="460" spans="1:21" s="1" customFormat="1" ht="48.75" customHeight="1" x14ac:dyDescent="0.35">
      <c r="A460" s="568"/>
      <c r="B460" s="573"/>
      <c r="C460" s="454" t="s">
        <v>36</v>
      </c>
      <c r="D460" s="59" t="s">
        <v>130</v>
      </c>
      <c r="E460" s="454"/>
      <c r="F460" s="454"/>
      <c r="G460" s="454"/>
      <c r="H460" s="35"/>
      <c r="I460" s="35"/>
      <c r="J460" s="454" t="s">
        <v>36</v>
      </c>
      <c r="K460" s="59" t="s">
        <v>130</v>
      </c>
      <c r="L460" s="19"/>
      <c r="M460" s="19"/>
      <c r="N460" s="19"/>
      <c r="O460" s="35"/>
      <c r="P460" s="35"/>
      <c r="Q460" s="35"/>
      <c r="R460" s="19"/>
      <c r="S460" s="586"/>
      <c r="T460" s="2"/>
      <c r="U460" s="3"/>
    </row>
    <row r="461" spans="1:21" s="1" customFormat="1" ht="48.75" customHeight="1" x14ac:dyDescent="0.35">
      <c r="A461" s="568"/>
      <c r="B461" s="573"/>
      <c r="C461" s="19" t="s">
        <v>38</v>
      </c>
      <c r="D461" s="41" t="s">
        <v>208</v>
      </c>
      <c r="E461" s="19" t="s">
        <v>18</v>
      </c>
      <c r="F461" s="19">
        <v>100</v>
      </c>
      <c r="G461" s="19">
        <v>100</v>
      </c>
      <c r="H461" s="24">
        <f>IF(G461/F461*100&gt;100,100,G461/F461*100)</f>
        <v>100</v>
      </c>
      <c r="I461" s="19"/>
      <c r="J461" s="19" t="s">
        <v>38</v>
      </c>
      <c r="K461" s="455" t="s">
        <v>223</v>
      </c>
      <c r="L461" s="19" t="s">
        <v>158</v>
      </c>
      <c r="M461" s="19"/>
      <c r="N461" s="19"/>
      <c r="O461" s="24"/>
      <c r="P461" s="468"/>
      <c r="Q461" s="35"/>
      <c r="R461" s="19"/>
      <c r="S461" s="586"/>
      <c r="T461" s="2"/>
      <c r="U461" s="3"/>
    </row>
    <row r="462" spans="1:21" s="1" customFormat="1" ht="48.75" customHeight="1" x14ac:dyDescent="0.35">
      <c r="A462" s="568"/>
      <c r="B462" s="573"/>
      <c r="C462" s="19"/>
      <c r="D462" s="41"/>
      <c r="E462" s="19"/>
      <c r="F462" s="477"/>
      <c r="G462" s="477"/>
      <c r="H462" s="24"/>
      <c r="I462" s="19"/>
      <c r="J462" s="19" t="s">
        <v>234</v>
      </c>
      <c r="K462" s="455" t="s">
        <v>229</v>
      </c>
      <c r="L462" s="19" t="s">
        <v>158</v>
      </c>
      <c r="M462" s="19">
        <v>374</v>
      </c>
      <c r="N462" s="19">
        <v>374</v>
      </c>
      <c r="O462" s="24">
        <f>IF(N462/M462*100&gt;110,110,N462/M462*100)</f>
        <v>100</v>
      </c>
      <c r="P462" s="468"/>
      <c r="Q462" s="35"/>
      <c r="R462" s="19"/>
      <c r="S462" s="586"/>
      <c r="T462" s="2"/>
      <c r="U462" s="3"/>
    </row>
    <row r="463" spans="1:21" s="1" customFormat="1" ht="48.75" customHeight="1" x14ac:dyDescent="0.35">
      <c r="A463" s="582"/>
      <c r="B463" s="574"/>
      <c r="C463" s="20"/>
      <c r="D463" s="466" t="s">
        <v>644</v>
      </c>
      <c r="E463" s="465"/>
      <c r="F463" s="20"/>
      <c r="G463" s="20"/>
      <c r="H463" s="18"/>
      <c r="I463" s="18">
        <f>H461</f>
        <v>100</v>
      </c>
      <c r="J463" s="128"/>
      <c r="K463" s="466" t="s">
        <v>644</v>
      </c>
      <c r="L463" s="20"/>
      <c r="M463" s="124"/>
      <c r="N463" s="124"/>
      <c r="O463" s="18"/>
      <c r="P463" s="18">
        <f>O462</f>
        <v>100</v>
      </c>
      <c r="Q463" s="18">
        <f>(I463+P463)/2</f>
        <v>100</v>
      </c>
      <c r="R463" s="465" t="s">
        <v>25</v>
      </c>
      <c r="S463" s="587"/>
      <c r="T463" s="2"/>
      <c r="U463" s="3"/>
    </row>
    <row r="464" spans="1:21" s="1" customFormat="1" ht="78.75" customHeight="1" x14ac:dyDescent="0.35">
      <c r="A464" s="567">
        <v>32</v>
      </c>
      <c r="B464" s="571" t="s">
        <v>96</v>
      </c>
      <c r="C464" s="454" t="s">
        <v>13</v>
      </c>
      <c r="D464" s="59" t="s">
        <v>14</v>
      </c>
      <c r="E464" s="454"/>
      <c r="F464" s="454"/>
      <c r="G464" s="454"/>
      <c r="H464" s="35"/>
      <c r="I464" s="35"/>
      <c r="J464" s="454" t="s">
        <v>13</v>
      </c>
      <c r="K464" s="59" t="s">
        <v>14</v>
      </c>
      <c r="L464" s="19"/>
      <c r="M464" s="19"/>
      <c r="N464" s="19"/>
      <c r="O464" s="35"/>
      <c r="P464" s="468"/>
      <c r="Q464" s="35"/>
      <c r="R464" s="19"/>
      <c r="S464" s="584" t="s">
        <v>15</v>
      </c>
      <c r="T464" s="2"/>
    </row>
    <row r="465" spans="1:20" s="1" customFormat="1" ht="33" x14ac:dyDescent="0.35">
      <c r="A465" s="568"/>
      <c r="B465" s="572"/>
      <c r="C465" s="19" t="s">
        <v>16</v>
      </c>
      <c r="D465" s="41" t="s">
        <v>17</v>
      </c>
      <c r="E465" s="19" t="s">
        <v>18</v>
      </c>
      <c r="F465" s="19">
        <v>95</v>
      </c>
      <c r="G465" s="19">
        <v>99</v>
      </c>
      <c r="H465" s="24">
        <f>IF(G465/F465*100&gt;100,100,G465/F465*100)</f>
        <v>100</v>
      </c>
      <c r="I465" s="19"/>
      <c r="J465" s="19" t="s">
        <v>16</v>
      </c>
      <c r="K465" s="41" t="s">
        <v>43</v>
      </c>
      <c r="L465" s="19" t="s">
        <v>20</v>
      </c>
      <c r="M465" s="19">
        <v>44</v>
      </c>
      <c r="N465" s="19">
        <v>44</v>
      </c>
      <c r="O465" s="24">
        <f>IF(N465/M465*100&gt;110,110,N465/M465*100)</f>
        <v>100</v>
      </c>
      <c r="P465" s="468"/>
      <c r="Q465" s="35"/>
      <c r="R465" s="19"/>
      <c r="S465" s="585"/>
      <c r="T465" s="2"/>
    </row>
    <row r="466" spans="1:20" s="1" customFormat="1" ht="33" x14ac:dyDescent="0.35">
      <c r="A466" s="568"/>
      <c r="B466" s="572"/>
      <c r="C466" s="19"/>
      <c r="D466" s="41"/>
      <c r="E466" s="19"/>
      <c r="F466" s="19"/>
      <c r="G466" s="19"/>
      <c r="H466" s="24"/>
      <c r="I466" s="19"/>
      <c r="J466" s="19" t="s">
        <v>21</v>
      </c>
      <c r="K466" s="41" t="s">
        <v>29</v>
      </c>
      <c r="L466" s="19" t="s">
        <v>20</v>
      </c>
      <c r="M466" s="19">
        <v>176</v>
      </c>
      <c r="N466" s="19">
        <v>176</v>
      </c>
      <c r="O466" s="24">
        <f>IF(N466/M466*100&gt;110,110,N466/M466*100)</f>
        <v>100</v>
      </c>
      <c r="P466" s="468"/>
      <c r="Q466" s="35"/>
      <c r="R466" s="19"/>
      <c r="S466" s="585"/>
      <c r="T466" s="2"/>
    </row>
    <row r="467" spans="1:20" s="1" customFormat="1" x14ac:dyDescent="0.35">
      <c r="A467" s="568"/>
      <c r="B467" s="572"/>
      <c r="C467" s="19"/>
      <c r="D467" s="41"/>
      <c r="E467" s="19"/>
      <c r="F467" s="19"/>
      <c r="G467" s="19"/>
      <c r="H467" s="24"/>
      <c r="I467" s="19"/>
      <c r="J467" s="19" t="s">
        <v>23</v>
      </c>
      <c r="K467" s="41" t="s">
        <v>72</v>
      </c>
      <c r="L467" s="19" t="s">
        <v>20</v>
      </c>
      <c r="M467" s="19">
        <v>30</v>
      </c>
      <c r="N467" s="19">
        <v>30</v>
      </c>
      <c r="O467" s="24">
        <f>IF(N467/M467*100&gt;110,110,N467/M467*100)</f>
        <v>100</v>
      </c>
      <c r="P467" s="468"/>
      <c r="Q467" s="35"/>
      <c r="R467" s="19"/>
      <c r="S467" s="585"/>
      <c r="T467" s="2"/>
    </row>
    <row r="468" spans="1:20" s="1" customFormat="1" ht="48.75" customHeight="1" x14ac:dyDescent="0.35">
      <c r="A468" s="568"/>
      <c r="B468" s="572"/>
      <c r="C468" s="465"/>
      <c r="D468" s="466" t="s">
        <v>644</v>
      </c>
      <c r="E468" s="465"/>
      <c r="F468" s="20"/>
      <c r="G468" s="20"/>
      <c r="H468" s="18"/>
      <c r="I468" s="18">
        <f>H465</f>
        <v>100</v>
      </c>
      <c r="J468" s="128"/>
      <c r="K468" s="466" t="s">
        <v>644</v>
      </c>
      <c r="L468" s="20"/>
      <c r="M468" s="124"/>
      <c r="N468" s="124"/>
      <c r="O468" s="18"/>
      <c r="P468" s="18">
        <f>(O465+O466+O467)/3</f>
        <v>100</v>
      </c>
      <c r="Q468" s="18">
        <f>(I468+P468)/2</f>
        <v>100</v>
      </c>
      <c r="R468" s="465" t="s">
        <v>25</v>
      </c>
      <c r="S468" s="585"/>
      <c r="T468" s="2"/>
    </row>
    <row r="469" spans="1:20" s="1" customFormat="1" ht="45.75" customHeight="1" x14ac:dyDescent="0.35">
      <c r="A469" s="568"/>
      <c r="B469" s="572"/>
      <c r="C469" s="454" t="s">
        <v>26</v>
      </c>
      <c r="D469" s="59" t="s">
        <v>27</v>
      </c>
      <c r="E469" s="19"/>
      <c r="F469" s="19"/>
      <c r="G469" s="19"/>
      <c r="H469" s="35"/>
      <c r="I469" s="35"/>
      <c r="J469" s="454" t="s">
        <v>26</v>
      </c>
      <c r="K469" s="59" t="s">
        <v>27</v>
      </c>
      <c r="L469" s="19"/>
      <c r="M469" s="476"/>
      <c r="N469" s="476"/>
      <c r="O469" s="35"/>
      <c r="P469" s="468"/>
      <c r="Q469" s="35"/>
      <c r="R469" s="19"/>
      <c r="S469" s="585"/>
      <c r="T469" s="2"/>
    </row>
    <row r="470" spans="1:20" s="1" customFormat="1" ht="33" x14ac:dyDescent="0.35">
      <c r="A470" s="568"/>
      <c r="B470" s="572"/>
      <c r="C470" s="19" t="s">
        <v>28</v>
      </c>
      <c r="D470" s="41" t="s">
        <v>17</v>
      </c>
      <c r="E470" s="19" t="s">
        <v>18</v>
      </c>
      <c r="F470" s="19">
        <v>95</v>
      </c>
      <c r="G470" s="19">
        <v>99</v>
      </c>
      <c r="H470" s="24">
        <f>IF(G470/F470*100&gt;100,100,G470/F470*100)</f>
        <v>100</v>
      </c>
      <c r="I470" s="19"/>
      <c r="J470" s="129" t="s">
        <v>28</v>
      </c>
      <c r="K470" s="41" t="s">
        <v>63</v>
      </c>
      <c r="L470" s="19" t="s">
        <v>20</v>
      </c>
      <c r="M470" s="19">
        <v>248</v>
      </c>
      <c r="N470" s="19">
        <v>248</v>
      </c>
      <c r="O470" s="24">
        <f>IF(N470/M470*100&gt;110,110,N470/M470*100)</f>
        <v>100</v>
      </c>
      <c r="P470" s="468"/>
      <c r="Q470" s="35"/>
      <c r="R470" s="19"/>
      <c r="S470" s="585"/>
      <c r="T470" s="2"/>
    </row>
    <row r="471" spans="1:20" s="1" customFormat="1" ht="33" x14ac:dyDescent="0.35">
      <c r="A471" s="568"/>
      <c r="B471" s="572"/>
      <c r="C471" s="19" t="s">
        <v>30</v>
      </c>
      <c r="D471" s="41" t="s">
        <v>31</v>
      </c>
      <c r="E471" s="19" t="s">
        <v>32</v>
      </c>
      <c r="F471" s="19">
        <v>35</v>
      </c>
      <c r="G471" s="19">
        <v>8.5</v>
      </c>
      <c r="H471" s="24">
        <f>IF(F471/G471*100&gt;100,100,F471/G471*100)</f>
        <v>100</v>
      </c>
      <c r="I471" s="19"/>
      <c r="J471" s="129" t="s">
        <v>30</v>
      </c>
      <c r="K471" s="41" t="s">
        <v>33</v>
      </c>
      <c r="L471" s="19" t="s">
        <v>20</v>
      </c>
      <c r="M471" s="19">
        <v>1</v>
      </c>
      <c r="N471" s="19">
        <v>1</v>
      </c>
      <c r="O471" s="24">
        <v>100</v>
      </c>
      <c r="P471" s="468"/>
      <c r="Q471" s="35"/>
      <c r="R471" s="19"/>
      <c r="S471" s="585"/>
      <c r="T471" s="2"/>
    </row>
    <row r="472" spans="1:20" s="1" customFormat="1" x14ac:dyDescent="0.35">
      <c r="A472" s="568"/>
      <c r="B472" s="572"/>
      <c r="C472" s="19"/>
      <c r="D472" s="41"/>
      <c r="E472" s="19"/>
      <c r="F472" s="19"/>
      <c r="G472" s="19"/>
      <c r="H472" s="24"/>
      <c r="I472" s="19"/>
      <c r="J472" s="129" t="s">
        <v>34</v>
      </c>
      <c r="K472" s="41" t="s">
        <v>35</v>
      </c>
      <c r="L472" s="19" t="s">
        <v>20</v>
      </c>
      <c r="M472" s="19">
        <v>1</v>
      </c>
      <c r="N472" s="19">
        <v>1</v>
      </c>
      <c r="O472" s="24">
        <f>IF(N472/M472*100&gt;110,110,N472/M472*100)</f>
        <v>100</v>
      </c>
      <c r="P472" s="468"/>
      <c r="Q472" s="35"/>
      <c r="R472" s="19"/>
      <c r="S472" s="585"/>
      <c r="T472" s="2"/>
    </row>
    <row r="473" spans="1:20" s="1" customFormat="1" ht="58.5" customHeight="1" x14ac:dyDescent="0.35">
      <c r="A473" s="568"/>
      <c r="B473" s="572"/>
      <c r="C473" s="465"/>
      <c r="D473" s="466" t="s">
        <v>644</v>
      </c>
      <c r="E473" s="465"/>
      <c r="F473" s="20"/>
      <c r="G473" s="20"/>
      <c r="H473" s="18"/>
      <c r="I473" s="18">
        <f>(H470+H471)/2</f>
        <v>100</v>
      </c>
      <c r="J473" s="128"/>
      <c r="K473" s="466" t="s">
        <v>644</v>
      </c>
      <c r="L473" s="20"/>
      <c r="M473" s="124"/>
      <c r="N473" s="124"/>
      <c r="O473" s="18"/>
      <c r="P473" s="18">
        <f>(O470+O472)/2</f>
        <v>100</v>
      </c>
      <c r="Q473" s="18">
        <f>(I473+P473)/2</f>
        <v>100</v>
      </c>
      <c r="R473" s="465" t="s">
        <v>25</v>
      </c>
      <c r="S473" s="585"/>
      <c r="T473" s="2"/>
    </row>
    <row r="474" spans="1:20" s="1" customFormat="1" ht="54" customHeight="1" x14ac:dyDescent="0.35">
      <c r="A474" s="568"/>
      <c r="B474" s="573"/>
      <c r="C474" s="454" t="s">
        <v>36</v>
      </c>
      <c r="D474" s="59" t="s">
        <v>130</v>
      </c>
      <c r="E474" s="454"/>
      <c r="F474" s="454"/>
      <c r="G474" s="454"/>
      <c r="H474" s="35"/>
      <c r="I474" s="35"/>
      <c r="J474" s="454" t="s">
        <v>36</v>
      </c>
      <c r="K474" s="59" t="s">
        <v>130</v>
      </c>
      <c r="L474" s="19"/>
      <c r="M474" s="19"/>
      <c r="N474" s="19"/>
      <c r="O474" s="35"/>
      <c r="P474" s="35"/>
      <c r="Q474" s="35"/>
      <c r="R474" s="19"/>
      <c r="S474" s="586"/>
      <c r="T474" s="2"/>
    </row>
    <row r="475" spans="1:20" s="1" customFormat="1" ht="54" customHeight="1" x14ac:dyDescent="0.35">
      <c r="A475" s="568"/>
      <c r="B475" s="573"/>
      <c r="C475" s="19" t="s">
        <v>38</v>
      </c>
      <c r="D475" s="41" t="s">
        <v>208</v>
      </c>
      <c r="E475" s="19" t="s">
        <v>18</v>
      </c>
      <c r="F475" s="19">
        <v>100</v>
      </c>
      <c r="G475" s="19">
        <v>100</v>
      </c>
      <c r="H475" s="24">
        <f>IF(G475/F475*100&gt;100,100,G475/F475*100)</f>
        <v>100</v>
      </c>
      <c r="I475" s="19"/>
      <c r="J475" s="19" t="s">
        <v>38</v>
      </c>
      <c r="K475" s="455" t="s">
        <v>223</v>
      </c>
      <c r="L475" s="19" t="s">
        <v>158</v>
      </c>
      <c r="M475" s="19"/>
      <c r="N475" s="19"/>
      <c r="O475" s="24"/>
      <c r="P475" s="468"/>
      <c r="Q475" s="35"/>
      <c r="R475" s="19"/>
      <c r="S475" s="586"/>
      <c r="T475" s="2"/>
    </row>
    <row r="476" spans="1:20" s="1" customFormat="1" ht="54" customHeight="1" x14ac:dyDescent="0.35">
      <c r="A476" s="568"/>
      <c r="B476" s="573"/>
      <c r="C476" s="19"/>
      <c r="D476" s="41"/>
      <c r="E476" s="19"/>
      <c r="F476" s="477"/>
      <c r="G476" s="477"/>
      <c r="H476" s="24"/>
      <c r="I476" s="19"/>
      <c r="J476" s="19" t="s">
        <v>234</v>
      </c>
      <c r="K476" s="455" t="s">
        <v>295</v>
      </c>
      <c r="L476" s="19" t="s">
        <v>158</v>
      </c>
      <c r="M476" s="19">
        <v>374</v>
      </c>
      <c r="N476" s="19">
        <v>374</v>
      </c>
      <c r="O476" s="24">
        <f>IF(N476/M476*100&gt;110,110,N476/M476*100)</f>
        <v>100</v>
      </c>
      <c r="P476" s="468"/>
      <c r="Q476" s="35"/>
      <c r="R476" s="19"/>
      <c r="S476" s="586"/>
      <c r="T476" s="2"/>
    </row>
    <row r="477" spans="1:20" s="1" customFormat="1" ht="54" customHeight="1" x14ac:dyDescent="0.35">
      <c r="A477" s="582"/>
      <c r="B477" s="574"/>
      <c r="C477" s="20"/>
      <c r="D477" s="466" t="s">
        <v>644</v>
      </c>
      <c r="E477" s="465"/>
      <c r="F477" s="20"/>
      <c r="G477" s="20"/>
      <c r="H477" s="18"/>
      <c r="I477" s="18">
        <f>H475</f>
        <v>100</v>
      </c>
      <c r="J477" s="128"/>
      <c r="K477" s="466" t="s">
        <v>644</v>
      </c>
      <c r="L477" s="20"/>
      <c r="M477" s="124"/>
      <c r="N477" s="124"/>
      <c r="O477" s="18"/>
      <c r="P477" s="18">
        <f>O476</f>
        <v>100</v>
      </c>
      <c r="Q477" s="18">
        <f>(I477+P477)/2</f>
        <v>100</v>
      </c>
      <c r="R477" s="465" t="s">
        <v>25</v>
      </c>
      <c r="S477" s="587"/>
      <c r="T477" s="2"/>
    </row>
    <row r="478" spans="1:20" s="1" customFormat="1" ht="70.5" customHeight="1" x14ac:dyDescent="0.35">
      <c r="A478" s="567">
        <v>33</v>
      </c>
      <c r="B478" s="571" t="s">
        <v>97</v>
      </c>
      <c r="C478" s="454" t="s">
        <v>13</v>
      </c>
      <c r="D478" s="59" t="s">
        <v>14</v>
      </c>
      <c r="E478" s="454"/>
      <c r="F478" s="454"/>
      <c r="G478" s="454"/>
      <c r="H478" s="35"/>
      <c r="I478" s="35"/>
      <c r="J478" s="454" t="s">
        <v>13</v>
      </c>
      <c r="K478" s="59" t="s">
        <v>14</v>
      </c>
      <c r="L478" s="19"/>
      <c r="M478" s="19"/>
      <c r="N478" s="19"/>
      <c r="O478" s="35"/>
      <c r="P478" s="468"/>
      <c r="Q478" s="35"/>
      <c r="R478" s="19"/>
      <c r="S478" s="584" t="s">
        <v>15</v>
      </c>
      <c r="T478" s="2"/>
    </row>
    <row r="479" spans="1:20" s="1" customFormat="1" ht="33" x14ac:dyDescent="0.35">
      <c r="A479" s="568"/>
      <c r="B479" s="572"/>
      <c r="C479" s="19" t="s">
        <v>16</v>
      </c>
      <c r="D479" s="41" t="s">
        <v>17</v>
      </c>
      <c r="E479" s="19" t="s">
        <v>18</v>
      </c>
      <c r="F479" s="19">
        <v>95</v>
      </c>
      <c r="G479" s="19">
        <v>98</v>
      </c>
      <c r="H479" s="24">
        <f>IF(G479/F479*100&gt;100,100,G479/F479*100)</f>
        <v>100</v>
      </c>
      <c r="I479" s="19"/>
      <c r="J479" s="19" t="s">
        <v>16</v>
      </c>
      <c r="K479" s="41" t="s">
        <v>43</v>
      </c>
      <c r="L479" s="19" t="s">
        <v>20</v>
      </c>
      <c r="M479" s="19">
        <v>44</v>
      </c>
      <c r="N479" s="19">
        <v>44</v>
      </c>
      <c r="O479" s="24">
        <f>IF(N479/M479*100&gt;110,110,N479/M479*100)</f>
        <v>100</v>
      </c>
      <c r="P479" s="468"/>
      <c r="Q479" s="35"/>
      <c r="R479" s="19"/>
      <c r="S479" s="585"/>
      <c r="T479" s="2"/>
    </row>
    <row r="480" spans="1:20" s="1" customFormat="1" ht="33" x14ac:dyDescent="0.35">
      <c r="A480" s="568"/>
      <c r="B480" s="572"/>
      <c r="C480" s="19"/>
      <c r="D480" s="41"/>
      <c r="E480" s="19"/>
      <c r="F480" s="19"/>
      <c r="G480" s="19"/>
      <c r="H480" s="24"/>
      <c r="I480" s="19"/>
      <c r="J480" s="19" t="s">
        <v>21</v>
      </c>
      <c r="K480" s="41" t="s">
        <v>29</v>
      </c>
      <c r="L480" s="19" t="s">
        <v>20</v>
      </c>
      <c r="M480" s="19">
        <v>114</v>
      </c>
      <c r="N480" s="19">
        <v>114</v>
      </c>
      <c r="O480" s="24">
        <f>IF(N480/M480*100&gt;110,110,N480/M480*100)</f>
        <v>100</v>
      </c>
      <c r="P480" s="468"/>
      <c r="Q480" s="35"/>
      <c r="R480" s="19"/>
      <c r="S480" s="585"/>
      <c r="T480" s="2"/>
    </row>
    <row r="481" spans="1:20" s="1" customFormat="1" x14ac:dyDescent="0.35">
      <c r="A481" s="568"/>
      <c r="B481" s="572"/>
      <c r="C481" s="19"/>
      <c r="D481" s="41"/>
      <c r="E481" s="19"/>
      <c r="F481" s="19"/>
      <c r="G481" s="19"/>
      <c r="H481" s="24"/>
      <c r="I481" s="19"/>
      <c r="J481" s="19" t="s">
        <v>23</v>
      </c>
      <c r="K481" s="41" t="s">
        <v>72</v>
      </c>
      <c r="L481" s="19" t="s">
        <v>20</v>
      </c>
      <c r="M481" s="19">
        <v>24</v>
      </c>
      <c r="N481" s="19">
        <v>24</v>
      </c>
      <c r="O481" s="24">
        <f>IF(N481/M481*100&gt;110,110,N481/M481*100)</f>
        <v>100</v>
      </c>
      <c r="P481" s="468"/>
      <c r="Q481" s="35"/>
      <c r="R481" s="19"/>
      <c r="S481" s="585"/>
      <c r="T481" s="2"/>
    </row>
    <row r="482" spans="1:20" s="1" customFormat="1" ht="50.25" customHeight="1" x14ac:dyDescent="0.35">
      <c r="A482" s="568"/>
      <c r="B482" s="572"/>
      <c r="C482" s="465"/>
      <c r="D482" s="466" t="s">
        <v>644</v>
      </c>
      <c r="E482" s="465"/>
      <c r="F482" s="20"/>
      <c r="G482" s="20"/>
      <c r="H482" s="18"/>
      <c r="I482" s="18">
        <f>H479</f>
        <v>100</v>
      </c>
      <c r="J482" s="128"/>
      <c r="K482" s="466" t="s">
        <v>644</v>
      </c>
      <c r="L482" s="20"/>
      <c r="M482" s="124"/>
      <c r="N482" s="124"/>
      <c r="O482" s="18"/>
      <c r="P482" s="18">
        <f>(O479+O480+O481)/3</f>
        <v>100</v>
      </c>
      <c r="Q482" s="18">
        <f>(I482+P482)/2</f>
        <v>100</v>
      </c>
      <c r="R482" s="465" t="s">
        <v>25</v>
      </c>
      <c r="S482" s="585"/>
      <c r="T482" s="2"/>
    </row>
    <row r="483" spans="1:20" s="1" customFormat="1" ht="33" customHeight="1" x14ac:dyDescent="0.35">
      <c r="A483" s="568"/>
      <c r="B483" s="572"/>
      <c r="C483" s="454" t="s">
        <v>26</v>
      </c>
      <c r="D483" s="59" t="s">
        <v>27</v>
      </c>
      <c r="E483" s="19"/>
      <c r="F483" s="19"/>
      <c r="G483" s="19"/>
      <c r="H483" s="35"/>
      <c r="I483" s="35"/>
      <c r="J483" s="454" t="s">
        <v>26</v>
      </c>
      <c r="K483" s="59" t="s">
        <v>27</v>
      </c>
      <c r="L483" s="19"/>
      <c r="M483" s="476"/>
      <c r="N483" s="476"/>
      <c r="O483" s="35"/>
      <c r="P483" s="468"/>
      <c r="Q483" s="35"/>
      <c r="R483" s="19"/>
      <c r="S483" s="585"/>
      <c r="T483" s="2"/>
    </row>
    <row r="484" spans="1:20" s="1" customFormat="1" ht="33" x14ac:dyDescent="0.35">
      <c r="A484" s="568"/>
      <c r="B484" s="572"/>
      <c r="C484" s="19" t="s">
        <v>28</v>
      </c>
      <c r="D484" s="41" t="s">
        <v>17</v>
      </c>
      <c r="E484" s="19" t="s">
        <v>18</v>
      </c>
      <c r="F484" s="19">
        <v>95</v>
      </c>
      <c r="G484" s="19">
        <v>100</v>
      </c>
      <c r="H484" s="24">
        <f>IF(G484/F484*100&gt;100,100,G484/F484*100)</f>
        <v>100</v>
      </c>
      <c r="I484" s="19"/>
      <c r="J484" s="129" t="s">
        <v>28</v>
      </c>
      <c r="K484" s="41" t="s">
        <v>63</v>
      </c>
      <c r="L484" s="19" t="s">
        <v>20</v>
      </c>
      <c r="M484" s="19">
        <v>181</v>
      </c>
      <c r="N484" s="19">
        <v>181</v>
      </c>
      <c r="O484" s="24">
        <f>IF(N484/M484*100&gt;110,110,N484/M484*100)</f>
        <v>100</v>
      </c>
      <c r="P484" s="468"/>
      <c r="Q484" s="35"/>
      <c r="R484" s="19"/>
      <c r="S484" s="585"/>
      <c r="T484" s="2"/>
    </row>
    <row r="485" spans="1:20" s="1" customFormat="1" ht="33" x14ac:dyDescent="0.35">
      <c r="A485" s="568"/>
      <c r="B485" s="572"/>
      <c r="C485" s="19" t="s">
        <v>30</v>
      </c>
      <c r="D485" s="41" t="s">
        <v>31</v>
      </c>
      <c r="E485" s="19" t="s">
        <v>32</v>
      </c>
      <c r="F485" s="19">
        <v>35</v>
      </c>
      <c r="G485" s="19">
        <v>25.86</v>
      </c>
      <c r="H485" s="24">
        <f>IF(F485/G485*100&gt;100,100,F485/G485*100)</f>
        <v>100</v>
      </c>
      <c r="I485" s="19"/>
      <c r="J485" s="129" t="s">
        <v>30</v>
      </c>
      <c r="K485" s="41" t="s">
        <v>35</v>
      </c>
      <c r="L485" s="19" t="s">
        <v>20</v>
      </c>
      <c r="M485" s="19">
        <v>1</v>
      </c>
      <c r="N485" s="19">
        <v>1</v>
      </c>
      <c r="O485" s="24">
        <v>100</v>
      </c>
      <c r="P485" s="468"/>
      <c r="Q485" s="35"/>
      <c r="R485" s="19"/>
      <c r="S485" s="585"/>
      <c r="T485" s="2"/>
    </row>
    <row r="486" spans="1:20" s="1" customFormat="1" ht="47.25" customHeight="1" x14ac:dyDescent="0.35">
      <c r="A486" s="568"/>
      <c r="B486" s="572"/>
      <c r="C486" s="465"/>
      <c r="D486" s="466" t="s">
        <v>644</v>
      </c>
      <c r="E486" s="465"/>
      <c r="F486" s="20"/>
      <c r="G486" s="20"/>
      <c r="H486" s="18"/>
      <c r="I486" s="18">
        <f>(H484+H485)/2</f>
        <v>100</v>
      </c>
      <c r="J486" s="128"/>
      <c r="K486" s="466" t="s">
        <v>644</v>
      </c>
      <c r="L486" s="20"/>
      <c r="M486" s="124"/>
      <c r="N486" s="124"/>
      <c r="O486" s="18"/>
      <c r="P486" s="18">
        <f>(O484)/1</f>
        <v>100</v>
      </c>
      <c r="Q486" s="18">
        <f>(I486+P486)/2</f>
        <v>100</v>
      </c>
      <c r="R486" s="465" t="s">
        <v>25</v>
      </c>
      <c r="S486" s="585"/>
      <c r="T486" s="2"/>
    </row>
    <row r="487" spans="1:20" s="1" customFormat="1" ht="47.25" customHeight="1" x14ac:dyDescent="0.35">
      <c r="A487" s="568"/>
      <c r="B487" s="573"/>
      <c r="C487" s="454" t="s">
        <v>36</v>
      </c>
      <c r="D487" s="59" t="s">
        <v>130</v>
      </c>
      <c r="E487" s="454"/>
      <c r="F487" s="454"/>
      <c r="G487" s="454"/>
      <c r="H487" s="35"/>
      <c r="I487" s="35"/>
      <c r="J487" s="454" t="s">
        <v>36</v>
      </c>
      <c r="K487" s="59" t="s">
        <v>130</v>
      </c>
      <c r="L487" s="19"/>
      <c r="M487" s="19"/>
      <c r="N487" s="19"/>
      <c r="O487" s="35"/>
      <c r="P487" s="35"/>
      <c r="Q487" s="35"/>
      <c r="R487" s="19"/>
      <c r="S487" s="586"/>
      <c r="T487" s="2"/>
    </row>
    <row r="488" spans="1:20" s="1" customFormat="1" ht="47.25" customHeight="1" x14ac:dyDescent="0.35">
      <c r="A488" s="568"/>
      <c r="B488" s="573"/>
      <c r="C488" s="19" t="s">
        <v>38</v>
      </c>
      <c r="D488" s="41" t="s">
        <v>208</v>
      </c>
      <c r="E488" s="19" t="s">
        <v>18</v>
      </c>
      <c r="F488" s="19">
        <v>100</v>
      </c>
      <c r="G488" s="19">
        <v>100</v>
      </c>
      <c r="H488" s="24">
        <f>IF(G488/F488*100&gt;100,100,G488/F488*100)</f>
        <v>100</v>
      </c>
      <c r="I488" s="19"/>
      <c r="J488" s="19" t="s">
        <v>38</v>
      </c>
      <c r="K488" s="455" t="s">
        <v>223</v>
      </c>
      <c r="L488" s="19" t="s">
        <v>158</v>
      </c>
      <c r="M488" s="19"/>
      <c r="N488" s="19"/>
      <c r="O488" s="24"/>
      <c r="P488" s="468"/>
      <c r="Q488" s="35"/>
      <c r="R488" s="19"/>
      <c r="S488" s="586"/>
      <c r="T488" s="2"/>
    </row>
    <row r="489" spans="1:20" s="1" customFormat="1" ht="47.25" customHeight="1" x14ac:dyDescent="0.35">
      <c r="A489" s="568"/>
      <c r="B489" s="573"/>
      <c r="C489" s="19"/>
      <c r="D489" s="41"/>
      <c r="E489" s="19"/>
      <c r="F489" s="477"/>
      <c r="G489" s="477"/>
      <c r="H489" s="24"/>
      <c r="I489" s="19"/>
      <c r="J489" s="19" t="s">
        <v>234</v>
      </c>
      <c r="K489" s="455" t="s">
        <v>295</v>
      </c>
      <c r="L489" s="19" t="s">
        <v>158</v>
      </c>
      <c r="M489" s="19">
        <v>374</v>
      </c>
      <c r="N489" s="19">
        <v>374</v>
      </c>
      <c r="O489" s="24">
        <f>IF(N489/M489*100&gt;110,110,N489/M489*100)</f>
        <v>100</v>
      </c>
      <c r="P489" s="468"/>
      <c r="Q489" s="35"/>
      <c r="R489" s="19"/>
      <c r="S489" s="586"/>
      <c r="T489" s="2"/>
    </row>
    <row r="490" spans="1:20" s="1" customFormat="1" ht="47.25" customHeight="1" x14ac:dyDescent="0.35">
      <c r="A490" s="582"/>
      <c r="B490" s="574"/>
      <c r="C490" s="20"/>
      <c r="D490" s="466" t="s">
        <v>644</v>
      </c>
      <c r="E490" s="465"/>
      <c r="F490" s="20"/>
      <c r="G490" s="20"/>
      <c r="H490" s="18"/>
      <c r="I490" s="18">
        <f>H488</f>
        <v>100</v>
      </c>
      <c r="J490" s="128"/>
      <c r="K490" s="466" t="s">
        <v>644</v>
      </c>
      <c r="L490" s="20"/>
      <c r="M490" s="124"/>
      <c r="N490" s="124"/>
      <c r="O490" s="18"/>
      <c r="P490" s="18">
        <f>O489</f>
        <v>100</v>
      </c>
      <c r="Q490" s="18">
        <f>(I490+P490)/2</f>
        <v>100</v>
      </c>
      <c r="R490" s="465" t="s">
        <v>25</v>
      </c>
      <c r="S490" s="587"/>
      <c r="T490" s="2"/>
    </row>
    <row r="491" spans="1:20" s="1" customFormat="1" ht="72" customHeight="1" x14ac:dyDescent="0.35">
      <c r="A491" s="567">
        <v>34</v>
      </c>
      <c r="B491" s="571" t="s">
        <v>98</v>
      </c>
      <c r="C491" s="454" t="s">
        <v>13</v>
      </c>
      <c r="D491" s="59" t="s">
        <v>14</v>
      </c>
      <c r="E491" s="454"/>
      <c r="F491" s="454"/>
      <c r="G491" s="454"/>
      <c r="H491" s="35"/>
      <c r="I491" s="35"/>
      <c r="J491" s="454" t="s">
        <v>13</v>
      </c>
      <c r="K491" s="59" t="s">
        <v>14</v>
      </c>
      <c r="L491" s="19"/>
      <c r="M491" s="19"/>
      <c r="N491" s="19"/>
      <c r="O491" s="35"/>
      <c r="P491" s="468"/>
      <c r="Q491" s="35"/>
      <c r="R491" s="19"/>
      <c r="S491" s="584" t="s">
        <v>15</v>
      </c>
      <c r="T491" s="2"/>
    </row>
    <row r="492" spans="1:20" s="1" customFormat="1" ht="33" x14ac:dyDescent="0.35">
      <c r="A492" s="568"/>
      <c r="B492" s="572"/>
      <c r="C492" s="19" t="s">
        <v>16</v>
      </c>
      <c r="D492" s="41" t="s">
        <v>17</v>
      </c>
      <c r="E492" s="19" t="s">
        <v>18</v>
      </c>
      <c r="F492" s="19">
        <v>95</v>
      </c>
      <c r="G492" s="19">
        <v>97.9</v>
      </c>
      <c r="H492" s="24">
        <f>IF(G492/F492*100&gt;100,100,G492/F492*100)</f>
        <v>100</v>
      </c>
      <c r="I492" s="19"/>
      <c r="J492" s="19" t="s">
        <v>16</v>
      </c>
      <c r="K492" s="41" t="s">
        <v>43</v>
      </c>
      <c r="L492" s="19" t="s">
        <v>20</v>
      </c>
      <c r="M492" s="19">
        <v>66</v>
      </c>
      <c r="N492" s="19">
        <v>66</v>
      </c>
      <c r="O492" s="24">
        <f>IF(N492/M492*100&gt;110,110,N492/M492*100)</f>
        <v>100</v>
      </c>
      <c r="P492" s="468"/>
      <c r="Q492" s="35"/>
      <c r="R492" s="19"/>
      <c r="S492" s="585"/>
      <c r="T492" s="2"/>
    </row>
    <row r="493" spans="1:20" s="1" customFormat="1" ht="33" x14ac:dyDescent="0.35">
      <c r="A493" s="568"/>
      <c r="B493" s="572"/>
      <c r="C493" s="19"/>
      <c r="D493" s="41"/>
      <c r="E493" s="19"/>
      <c r="F493" s="19"/>
      <c r="G493" s="19"/>
      <c r="H493" s="24"/>
      <c r="I493" s="19"/>
      <c r="J493" s="19" t="s">
        <v>21</v>
      </c>
      <c r="K493" s="41" t="s">
        <v>29</v>
      </c>
      <c r="L493" s="19" t="s">
        <v>20</v>
      </c>
      <c r="M493" s="19">
        <v>170</v>
      </c>
      <c r="N493" s="19">
        <v>170</v>
      </c>
      <c r="O493" s="24">
        <f>IF(N493/M493*100&gt;110,110,N493/M493*100)</f>
        <v>100</v>
      </c>
      <c r="P493" s="468"/>
      <c r="Q493" s="35"/>
      <c r="R493" s="19"/>
      <c r="S493" s="585"/>
      <c r="T493" s="2"/>
    </row>
    <row r="494" spans="1:20" s="1" customFormat="1" x14ac:dyDescent="0.35">
      <c r="A494" s="568"/>
      <c r="B494" s="572"/>
      <c r="C494" s="19"/>
      <c r="D494" s="41"/>
      <c r="E494" s="19"/>
      <c r="F494" s="19"/>
      <c r="G494" s="19"/>
      <c r="H494" s="24"/>
      <c r="I494" s="19"/>
      <c r="J494" s="19" t="s">
        <v>23</v>
      </c>
      <c r="K494" s="41" t="s">
        <v>72</v>
      </c>
      <c r="L494" s="19" t="s">
        <v>20</v>
      </c>
      <c r="M494" s="19">
        <v>18</v>
      </c>
      <c r="N494" s="19">
        <v>18</v>
      </c>
      <c r="O494" s="24">
        <f>IF(N494/M494*100&gt;110,110,N494/M494*100)</f>
        <v>100</v>
      </c>
      <c r="P494" s="468"/>
      <c r="Q494" s="35"/>
      <c r="R494" s="19"/>
      <c r="S494" s="585"/>
      <c r="T494" s="2"/>
    </row>
    <row r="495" spans="1:20" s="1" customFormat="1" ht="57" customHeight="1" x14ac:dyDescent="0.35">
      <c r="A495" s="568"/>
      <c r="B495" s="572"/>
      <c r="C495" s="465"/>
      <c r="D495" s="466" t="s">
        <v>644</v>
      </c>
      <c r="E495" s="465"/>
      <c r="F495" s="20"/>
      <c r="G495" s="20"/>
      <c r="H495" s="18"/>
      <c r="I495" s="18">
        <f>H492</f>
        <v>100</v>
      </c>
      <c r="J495" s="128"/>
      <c r="K495" s="466" t="s">
        <v>644</v>
      </c>
      <c r="L495" s="20"/>
      <c r="M495" s="124"/>
      <c r="N495" s="124"/>
      <c r="O495" s="18"/>
      <c r="P495" s="18">
        <f>(O492+O493+O494)/3</f>
        <v>100</v>
      </c>
      <c r="Q495" s="18">
        <f>(I495+P495)/2</f>
        <v>100</v>
      </c>
      <c r="R495" s="465" t="s">
        <v>25</v>
      </c>
      <c r="S495" s="585"/>
      <c r="T495" s="2"/>
    </row>
    <row r="496" spans="1:20" s="1" customFormat="1" ht="39" customHeight="1" x14ac:dyDescent="0.35">
      <c r="A496" s="568"/>
      <c r="B496" s="572"/>
      <c r="C496" s="454" t="s">
        <v>26</v>
      </c>
      <c r="D496" s="59" t="s">
        <v>27</v>
      </c>
      <c r="E496" s="19"/>
      <c r="F496" s="19"/>
      <c r="G496" s="19"/>
      <c r="H496" s="35"/>
      <c r="I496" s="35"/>
      <c r="J496" s="454" t="s">
        <v>26</v>
      </c>
      <c r="K496" s="59" t="s">
        <v>27</v>
      </c>
      <c r="L496" s="19"/>
      <c r="M496" s="476"/>
      <c r="N496" s="476"/>
      <c r="O496" s="35"/>
      <c r="P496" s="468"/>
      <c r="Q496" s="35"/>
      <c r="R496" s="19"/>
      <c r="S496" s="585"/>
      <c r="T496" s="2"/>
    </row>
    <row r="497" spans="1:20" s="1" customFormat="1" ht="33" x14ac:dyDescent="0.35">
      <c r="A497" s="568"/>
      <c r="B497" s="572"/>
      <c r="C497" s="19" t="s">
        <v>28</v>
      </c>
      <c r="D497" s="41" t="s">
        <v>17</v>
      </c>
      <c r="E497" s="19" t="s">
        <v>18</v>
      </c>
      <c r="F497" s="19">
        <v>95</v>
      </c>
      <c r="G497" s="19">
        <v>97.9</v>
      </c>
      <c r="H497" s="24">
        <f>IF(G497/F497*100&gt;100,100,G497/F497*100)</f>
        <v>100</v>
      </c>
      <c r="I497" s="19"/>
      <c r="J497" s="129" t="s">
        <v>28</v>
      </c>
      <c r="K497" s="41" t="s">
        <v>63</v>
      </c>
      <c r="L497" s="19" t="s">
        <v>20</v>
      </c>
      <c r="M497" s="19">
        <v>252</v>
      </c>
      <c r="N497" s="19">
        <v>252</v>
      </c>
      <c r="O497" s="24">
        <f>IF(N497/M497*100&gt;110,110,N497/M497*100)</f>
        <v>100</v>
      </c>
      <c r="P497" s="468"/>
      <c r="Q497" s="35"/>
      <c r="R497" s="19"/>
      <c r="S497" s="585"/>
      <c r="T497" s="2"/>
    </row>
    <row r="498" spans="1:20" s="1" customFormat="1" ht="33" x14ac:dyDescent="0.35">
      <c r="A498" s="568"/>
      <c r="B498" s="572"/>
      <c r="C498" s="19" t="s">
        <v>30</v>
      </c>
      <c r="D498" s="41" t="s">
        <v>31</v>
      </c>
      <c r="E498" s="19" t="s">
        <v>32</v>
      </c>
      <c r="F498" s="19">
        <v>35</v>
      </c>
      <c r="G498" s="19">
        <v>34.799999999999997</v>
      </c>
      <c r="H498" s="24">
        <f>IF(F498/G498*100&gt;100,100,F498/G498*100)</f>
        <v>100</v>
      </c>
      <c r="I498" s="19"/>
      <c r="J498" s="129" t="s">
        <v>30</v>
      </c>
      <c r="K498" s="41" t="s">
        <v>33</v>
      </c>
      <c r="L498" s="19" t="s">
        <v>20</v>
      </c>
      <c r="M498" s="19">
        <v>1</v>
      </c>
      <c r="N498" s="19">
        <v>1</v>
      </c>
      <c r="O498" s="24">
        <v>100</v>
      </c>
      <c r="P498" s="468"/>
      <c r="Q498" s="35"/>
      <c r="R498" s="19"/>
      <c r="S498" s="585"/>
      <c r="T498" s="2"/>
    </row>
    <row r="499" spans="1:20" s="1" customFormat="1" x14ac:dyDescent="0.35">
      <c r="A499" s="568"/>
      <c r="B499" s="572"/>
      <c r="C499" s="19"/>
      <c r="D499" s="41"/>
      <c r="E499" s="19"/>
      <c r="F499" s="19"/>
      <c r="G499" s="19"/>
      <c r="H499" s="24"/>
      <c r="I499" s="19"/>
      <c r="J499" s="129" t="s">
        <v>34</v>
      </c>
      <c r="K499" s="41" t="s">
        <v>35</v>
      </c>
      <c r="L499" s="19" t="s">
        <v>20</v>
      </c>
      <c r="M499" s="19">
        <v>1</v>
      </c>
      <c r="N499" s="19">
        <v>1</v>
      </c>
      <c r="O499" s="24">
        <f>IF(N499/M499*100&gt;110,110,N499/M499*100)</f>
        <v>100</v>
      </c>
      <c r="P499" s="468"/>
      <c r="Q499" s="35"/>
      <c r="R499" s="19"/>
      <c r="S499" s="585"/>
      <c r="T499" s="2"/>
    </row>
    <row r="500" spans="1:20" s="1" customFormat="1" ht="48.75" customHeight="1" x14ac:dyDescent="0.35">
      <c r="A500" s="568"/>
      <c r="B500" s="572"/>
      <c r="C500" s="465"/>
      <c r="D500" s="466" t="s">
        <v>644</v>
      </c>
      <c r="E500" s="465"/>
      <c r="F500" s="20"/>
      <c r="G500" s="20"/>
      <c r="H500" s="18"/>
      <c r="I500" s="18">
        <f>(H497+H498)/2</f>
        <v>100</v>
      </c>
      <c r="J500" s="128"/>
      <c r="K500" s="466" t="s">
        <v>644</v>
      </c>
      <c r="L500" s="20"/>
      <c r="M500" s="124"/>
      <c r="N500" s="124"/>
      <c r="O500" s="18"/>
      <c r="P500" s="18">
        <f>(O497+O499+O498)/3</f>
        <v>100</v>
      </c>
      <c r="Q500" s="18">
        <f>(I500+P500)/2</f>
        <v>100</v>
      </c>
      <c r="R500" s="465" t="s">
        <v>25</v>
      </c>
      <c r="S500" s="585"/>
      <c r="T500" s="2"/>
    </row>
    <row r="501" spans="1:20" s="1" customFormat="1" ht="51.75" customHeight="1" x14ac:dyDescent="0.35">
      <c r="A501" s="568"/>
      <c r="B501" s="573"/>
      <c r="C501" s="454" t="s">
        <v>36</v>
      </c>
      <c r="D501" s="59" t="s">
        <v>130</v>
      </c>
      <c r="E501" s="454"/>
      <c r="F501" s="454"/>
      <c r="G501" s="454"/>
      <c r="H501" s="35"/>
      <c r="I501" s="35"/>
      <c r="J501" s="454" t="s">
        <v>36</v>
      </c>
      <c r="K501" s="59" t="s">
        <v>130</v>
      </c>
      <c r="L501" s="19"/>
      <c r="M501" s="19"/>
      <c r="N501" s="19"/>
      <c r="O501" s="35"/>
      <c r="P501" s="35"/>
      <c r="Q501" s="35"/>
      <c r="R501" s="19"/>
      <c r="S501" s="586"/>
      <c r="T501" s="2"/>
    </row>
    <row r="502" spans="1:20" s="1" customFormat="1" ht="51.75" customHeight="1" x14ac:dyDescent="0.35">
      <c r="A502" s="568"/>
      <c r="B502" s="573"/>
      <c r="C502" s="19" t="s">
        <v>38</v>
      </c>
      <c r="D502" s="41" t="s">
        <v>208</v>
      </c>
      <c r="E502" s="19" t="s">
        <v>18</v>
      </c>
      <c r="F502" s="19">
        <v>100</v>
      </c>
      <c r="G502" s="19">
        <v>100</v>
      </c>
      <c r="H502" s="24">
        <f>IF(G502/F502*100&gt;100,100,G502/F502*100)</f>
        <v>100</v>
      </c>
      <c r="I502" s="19"/>
      <c r="J502" s="19" t="s">
        <v>38</v>
      </c>
      <c r="K502" s="455" t="s">
        <v>223</v>
      </c>
      <c r="L502" s="19" t="s">
        <v>158</v>
      </c>
      <c r="M502" s="19"/>
      <c r="N502" s="19"/>
      <c r="O502" s="24"/>
      <c r="P502" s="468"/>
      <c r="Q502" s="35"/>
      <c r="R502" s="19"/>
      <c r="S502" s="586"/>
      <c r="T502" s="2"/>
    </row>
    <row r="503" spans="1:20" s="1" customFormat="1" ht="51.75" customHeight="1" x14ac:dyDescent="0.35">
      <c r="A503" s="568"/>
      <c r="B503" s="573"/>
      <c r="C503" s="19"/>
      <c r="D503" s="41"/>
      <c r="E503" s="19"/>
      <c r="F503" s="477"/>
      <c r="G503" s="477"/>
      <c r="H503" s="24"/>
      <c r="I503" s="19"/>
      <c r="J503" s="19" t="s">
        <v>234</v>
      </c>
      <c r="K503" s="455" t="s">
        <v>296</v>
      </c>
      <c r="L503" s="19" t="s">
        <v>158</v>
      </c>
      <c r="M503" s="19">
        <v>374</v>
      </c>
      <c r="N503" s="19">
        <v>374</v>
      </c>
      <c r="O503" s="24">
        <f>IF(N503/M503*100&gt;110,110,N503/M503*100)</f>
        <v>100</v>
      </c>
      <c r="P503" s="468"/>
      <c r="Q503" s="35"/>
      <c r="R503" s="19"/>
      <c r="S503" s="586"/>
      <c r="T503" s="2"/>
    </row>
    <row r="504" spans="1:20" s="1" customFormat="1" ht="51.75" customHeight="1" x14ac:dyDescent="0.35">
      <c r="A504" s="582"/>
      <c r="B504" s="574"/>
      <c r="C504" s="20"/>
      <c r="D504" s="466" t="s">
        <v>644</v>
      </c>
      <c r="E504" s="465"/>
      <c r="F504" s="20"/>
      <c r="G504" s="20"/>
      <c r="H504" s="18"/>
      <c r="I504" s="18">
        <f>H502</f>
        <v>100</v>
      </c>
      <c r="J504" s="128"/>
      <c r="K504" s="466" t="s">
        <v>644</v>
      </c>
      <c r="L504" s="20"/>
      <c r="M504" s="124"/>
      <c r="N504" s="124"/>
      <c r="O504" s="18"/>
      <c r="P504" s="18">
        <f>O503</f>
        <v>100</v>
      </c>
      <c r="Q504" s="18">
        <f>(I504+P504)/2</f>
        <v>100</v>
      </c>
      <c r="R504" s="465" t="s">
        <v>25</v>
      </c>
      <c r="S504" s="587"/>
      <c r="T504" s="2"/>
    </row>
    <row r="505" spans="1:20" s="1" customFormat="1" ht="65.25" customHeight="1" x14ac:dyDescent="0.35">
      <c r="A505" s="567">
        <v>35</v>
      </c>
      <c r="B505" s="571" t="s">
        <v>99</v>
      </c>
      <c r="C505" s="454" t="s">
        <v>13</v>
      </c>
      <c r="D505" s="59" t="s">
        <v>14</v>
      </c>
      <c r="E505" s="454"/>
      <c r="F505" s="454"/>
      <c r="G505" s="454"/>
      <c r="H505" s="35"/>
      <c r="I505" s="35"/>
      <c r="J505" s="454" t="s">
        <v>13</v>
      </c>
      <c r="K505" s="59" t="s">
        <v>14</v>
      </c>
      <c r="L505" s="19"/>
      <c r="M505" s="19"/>
      <c r="N505" s="19"/>
      <c r="O505" s="35"/>
      <c r="P505" s="468"/>
      <c r="Q505" s="35"/>
      <c r="R505" s="19"/>
      <c r="S505" s="584" t="s">
        <v>15</v>
      </c>
      <c r="T505" s="2"/>
    </row>
    <row r="506" spans="1:20" s="1" customFormat="1" ht="33" x14ac:dyDescent="0.35">
      <c r="A506" s="568"/>
      <c r="B506" s="572"/>
      <c r="C506" s="19" t="s">
        <v>16</v>
      </c>
      <c r="D506" s="41" t="s">
        <v>17</v>
      </c>
      <c r="E506" s="19" t="s">
        <v>18</v>
      </c>
      <c r="F506" s="19">
        <v>95</v>
      </c>
      <c r="G506" s="19">
        <v>95</v>
      </c>
      <c r="H506" s="24">
        <f>IF(G506/F506*100&gt;100,100,G506/F506*100)</f>
        <v>100</v>
      </c>
      <c r="I506" s="19"/>
      <c r="J506" s="19" t="s">
        <v>16</v>
      </c>
      <c r="K506" s="41" t="s">
        <v>43</v>
      </c>
      <c r="L506" s="19" t="s">
        <v>20</v>
      </c>
      <c r="M506" s="19">
        <v>43</v>
      </c>
      <c r="N506" s="19">
        <v>43</v>
      </c>
      <c r="O506" s="24">
        <f>IF(N506/M506*100&gt;110,110,N506/M506*100)</f>
        <v>100</v>
      </c>
      <c r="P506" s="468"/>
      <c r="Q506" s="35"/>
      <c r="R506" s="19"/>
      <c r="S506" s="585"/>
      <c r="T506" s="2"/>
    </row>
    <row r="507" spans="1:20" s="1" customFormat="1" ht="33" x14ac:dyDescent="0.35">
      <c r="A507" s="568"/>
      <c r="B507" s="572"/>
      <c r="C507" s="19"/>
      <c r="D507" s="41"/>
      <c r="E507" s="19"/>
      <c r="F507" s="19"/>
      <c r="G507" s="19"/>
      <c r="H507" s="24"/>
      <c r="I507" s="19"/>
      <c r="J507" s="19" t="s">
        <v>21</v>
      </c>
      <c r="K507" s="41" t="s">
        <v>29</v>
      </c>
      <c r="L507" s="19" t="s">
        <v>20</v>
      </c>
      <c r="M507" s="19">
        <v>134</v>
      </c>
      <c r="N507" s="19">
        <v>134</v>
      </c>
      <c r="O507" s="24">
        <f>IF(N507/M507*100&gt;110,110,N507/M507*100)</f>
        <v>100</v>
      </c>
      <c r="P507" s="468"/>
      <c r="Q507" s="35"/>
      <c r="R507" s="19"/>
      <c r="S507" s="585"/>
      <c r="T507" s="2"/>
    </row>
    <row r="508" spans="1:20" s="1" customFormat="1" x14ac:dyDescent="0.35">
      <c r="A508" s="568"/>
      <c r="B508" s="572"/>
      <c r="C508" s="19"/>
      <c r="D508" s="41"/>
      <c r="E508" s="19"/>
      <c r="F508" s="19"/>
      <c r="G508" s="19"/>
      <c r="H508" s="24"/>
      <c r="I508" s="19"/>
      <c r="J508" s="19" t="s">
        <v>23</v>
      </c>
      <c r="K508" s="41" t="s">
        <v>72</v>
      </c>
      <c r="L508" s="19" t="s">
        <v>20</v>
      </c>
      <c r="M508" s="19">
        <v>26</v>
      </c>
      <c r="N508" s="19">
        <v>26</v>
      </c>
      <c r="O508" s="24">
        <f>IF(N508/M508*100&gt;110,110,N508/M508*100)</f>
        <v>100</v>
      </c>
      <c r="P508" s="468"/>
      <c r="Q508" s="35"/>
      <c r="R508" s="19"/>
      <c r="S508" s="585"/>
      <c r="T508" s="2"/>
    </row>
    <row r="509" spans="1:20" s="1" customFormat="1" ht="50.25" customHeight="1" x14ac:dyDescent="0.35">
      <c r="A509" s="568"/>
      <c r="B509" s="572"/>
      <c r="C509" s="465"/>
      <c r="D509" s="466" t="s">
        <v>644</v>
      </c>
      <c r="E509" s="465"/>
      <c r="F509" s="20"/>
      <c r="G509" s="20"/>
      <c r="H509" s="18"/>
      <c r="I509" s="18">
        <f>H506</f>
        <v>100</v>
      </c>
      <c r="J509" s="128"/>
      <c r="K509" s="466" t="s">
        <v>644</v>
      </c>
      <c r="L509" s="20"/>
      <c r="M509" s="124"/>
      <c r="N509" s="124"/>
      <c r="O509" s="18"/>
      <c r="P509" s="18">
        <f>(O506+O507+O508)/3</f>
        <v>100</v>
      </c>
      <c r="Q509" s="18">
        <f>(I509+P509)/2</f>
        <v>100</v>
      </c>
      <c r="R509" s="465" t="s">
        <v>25</v>
      </c>
      <c r="S509" s="585"/>
      <c r="T509" s="2"/>
    </row>
    <row r="510" spans="1:20" s="1" customFormat="1" ht="36.75" customHeight="1" x14ac:dyDescent="0.35">
      <c r="A510" s="568"/>
      <c r="B510" s="572"/>
      <c r="C510" s="454" t="s">
        <v>26</v>
      </c>
      <c r="D510" s="59" t="s">
        <v>27</v>
      </c>
      <c r="E510" s="19"/>
      <c r="F510" s="19"/>
      <c r="G510" s="19"/>
      <c r="H510" s="35"/>
      <c r="I510" s="35"/>
      <c r="J510" s="454" t="s">
        <v>26</v>
      </c>
      <c r="K510" s="59" t="s">
        <v>27</v>
      </c>
      <c r="L510" s="19"/>
      <c r="M510" s="476"/>
      <c r="N510" s="476"/>
      <c r="O510" s="35"/>
      <c r="P510" s="468"/>
      <c r="Q510" s="35"/>
      <c r="R510" s="19"/>
      <c r="S510" s="585"/>
      <c r="T510" s="2"/>
    </row>
    <row r="511" spans="1:20" s="1" customFormat="1" ht="33" x14ac:dyDescent="0.35">
      <c r="A511" s="568"/>
      <c r="B511" s="572"/>
      <c r="C511" s="19" t="s">
        <v>28</v>
      </c>
      <c r="D511" s="41" t="s">
        <v>17</v>
      </c>
      <c r="E511" s="19" t="s">
        <v>18</v>
      </c>
      <c r="F511" s="19">
        <v>95</v>
      </c>
      <c r="G511" s="19">
        <v>95</v>
      </c>
      <c r="H511" s="24">
        <f>IF(G511/F511*100&gt;100,100,G511/F511*100)</f>
        <v>100</v>
      </c>
      <c r="I511" s="19"/>
      <c r="J511" s="129" t="s">
        <v>28</v>
      </c>
      <c r="K511" s="41" t="s">
        <v>63</v>
      </c>
      <c r="L511" s="19" t="s">
        <v>20</v>
      </c>
      <c r="M511" s="19">
        <v>200</v>
      </c>
      <c r="N511" s="19">
        <v>200</v>
      </c>
      <c r="O511" s="24">
        <f>IF(N511/M511*100&gt;110,110,N511/M511*100)</f>
        <v>100</v>
      </c>
      <c r="P511" s="468"/>
      <c r="Q511" s="35"/>
      <c r="R511" s="19"/>
      <c r="S511" s="585"/>
      <c r="T511" s="2"/>
    </row>
    <row r="512" spans="1:20" s="1" customFormat="1" ht="33" x14ac:dyDescent="0.35">
      <c r="A512" s="568"/>
      <c r="B512" s="572"/>
      <c r="C512" s="19" t="s">
        <v>30</v>
      </c>
      <c r="D512" s="41" t="s">
        <v>31</v>
      </c>
      <c r="E512" s="19" t="s">
        <v>32</v>
      </c>
      <c r="F512" s="19">
        <v>35</v>
      </c>
      <c r="G512" s="19">
        <v>32.1</v>
      </c>
      <c r="H512" s="24">
        <f>IF(F512/G512*100&gt;100,100,F512/G512*100)</f>
        <v>100</v>
      </c>
      <c r="I512" s="19"/>
      <c r="J512" s="129" t="s">
        <v>30</v>
      </c>
      <c r="K512" s="41" t="s">
        <v>35</v>
      </c>
      <c r="L512" s="19" t="s">
        <v>20</v>
      </c>
      <c r="M512" s="19">
        <v>3</v>
      </c>
      <c r="N512" s="19">
        <v>3</v>
      </c>
      <c r="O512" s="24">
        <v>100</v>
      </c>
      <c r="P512" s="468"/>
      <c r="Q512" s="35"/>
      <c r="R512" s="19"/>
      <c r="S512" s="585"/>
      <c r="T512" s="2"/>
    </row>
    <row r="513" spans="1:20" s="1" customFormat="1" ht="48.75" customHeight="1" x14ac:dyDescent="0.35">
      <c r="A513" s="568"/>
      <c r="B513" s="572"/>
      <c r="C513" s="465"/>
      <c r="D513" s="466" t="s">
        <v>644</v>
      </c>
      <c r="E513" s="465"/>
      <c r="F513" s="20"/>
      <c r="G513" s="20"/>
      <c r="H513" s="18"/>
      <c r="I513" s="18">
        <f>(H511+H512)/2</f>
        <v>100</v>
      </c>
      <c r="J513" s="128"/>
      <c r="K513" s="466" t="s">
        <v>644</v>
      </c>
      <c r="L513" s="20"/>
      <c r="M513" s="124"/>
      <c r="N513" s="124"/>
      <c r="O513" s="18"/>
      <c r="P513" s="18">
        <f>(O511+O512)/2</f>
        <v>100</v>
      </c>
      <c r="Q513" s="18">
        <f>(I513+P513)/2</f>
        <v>100</v>
      </c>
      <c r="R513" s="465" t="s">
        <v>25</v>
      </c>
      <c r="S513" s="585"/>
      <c r="T513" s="2"/>
    </row>
    <row r="514" spans="1:20" s="1" customFormat="1" ht="50.25" customHeight="1" x14ac:dyDescent="0.35">
      <c r="A514" s="568"/>
      <c r="B514" s="573"/>
      <c r="C514" s="454" t="s">
        <v>36</v>
      </c>
      <c r="D514" s="59" t="s">
        <v>130</v>
      </c>
      <c r="E514" s="454"/>
      <c r="F514" s="454"/>
      <c r="G514" s="454"/>
      <c r="H514" s="35"/>
      <c r="I514" s="35"/>
      <c r="J514" s="454" t="s">
        <v>36</v>
      </c>
      <c r="K514" s="59" t="s">
        <v>130</v>
      </c>
      <c r="L514" s="19"/>
      <c r="M514" s="19"/>
      <c r="N514" s="19"/>
      <c r="O514" s="35"/>
      <c r="P514" s="35"/>
      <c r="Q514" s="35"/>
      <c r="R514" s="19"/>
      <c r="S514" s="586"/>
      <c r="T514" s="2"/>
    </row>
    <row r="515" spans="1:20" s="1" customFormat="1" ht="50.25" customHeight="1" x14ac:dyDescent="0.35">
      <c r="A515" s="568"/>
      <c r="B515" s="573"/>
      <c r="C515" s="19" t="s">
        <v>38</v>
      </c>
      <c r="D515" s="41" t="s">
        <v>208</v>
      </c>
      <c r="E515" s="19" t="s">
        <v>18</v>
      </c>
      <c r="F515" s="19">
        <v>100</v>
      </c>
      <c r="G515" s="19">
        <v>100</v>
      </c>
      <c r="H515" s="24">
        <f>IF(G515/F515*100&gt;100,100,G515/F515*100)</f>
        <v>100</v>
      </c>
      <c r="I515" s="19"/>
      <c r="J515" s="19" t="s">
        <v>38</v>
      </c>
      <c r="K515" s="455" t="s">
        <v>223</v>
      </c>
      <c r="L515" s="19" t="s">
        <v>158</v>
      </c>
      <c r="M515" s="19"/>
      <c r="N515" s="19"/>
      <c r="O515" s="24"/>
      <c r="P515" s="468"/>
      <c r="Q515" s="35"/>
      <c r="R515" s="19"/>
      <c r="S515" s="586"/>
      <c r="T515" s="2"/>
    </row>
    <row r="516" spans="1:20" s="1" customFormat="1" ht="50.25" customHeight="1" x14ac:dyDescent="0.35">
      <c r="A516" s="568"/>
      <c r="B516" s="573"/>
      <c r="C516" s="19"/>
      <c r="D516" s="41"/>
      <c r="E516" s="19"/>
      <c r="F516" s="477"/>
      <c r="G516" s="477"/>
      <c r="H516" s="24"/>
      <c r="I516" s="19"/>
      <c r="J516" s="19" t="s">
        <v>234</v>
      </c>
      <c r="K516" s="455" t="s">
        <v>285</v>
      </c>
      <c r="L516" s="19" t="s">
        <v>158</v>
      </c>
      <c r="M516" s="19">
        <v>374</v>
      </c>
      <c r="N516" s="19">
        <v>374</v>
      </c>
      <c r="O516" s="24">
        <f>IF(N516/M516*100&gt;110,110,N516/M516*100)</f>
        <v>100</v>
      </c>
      <c r="P516" s="468"/>
      <c r="Q516" s="35"/>
      <c r="R516" s="19"/>
      <c r="S516" s="586"/>
      <c r="T516" s="2"/>
    </row>
    <row r="517" spans="1:20" s="1" customFormat="1" ht="50.25" customHeight="1" x14ac:dyDescent="0.35">
      <c r="A517" s="582"/>
      <c r="B517" s="574"/>
      <c r="C517" s="20"/>
      <c r="D517" s="466" t="s">
        <v>644</v>
      </c>
      <c r="E517" s="465"/>
      <c r="F517" s="20"/>
      <c r="G517" s="20"/>
      <c r="H517" s="18"/>
      <c r="I517" s="18">
        <f>H515</f>
        <v>100</v>
      </c>
      <c r="J517" s="128"/>
      <c r="K517" s="466" t="s">
        <v>644</v>
      </c>
      <c r="L517" s="20"/>
      <c r="M517" s="124"/>
      <c r="N517" s="124"/>
      <c r="O517" s="18"/>
      <c r="P517" s="18">
        <f>O516</f>
        <v>100</v>
      </c>
      <c r="Q517" s="18">
        <f>(I517+P517)/2</f>
        <v>100</v>
      </c>
      <c r="R517" s="465" t="s">
        <v>25</v>
      </c>
      <c r="S517" s="587"/>
      <c r="T517" s="2"/>
    </row>
    <row r="518" spans="1:20" s="1" customFormat="1" ht="67.5" customHeight="1" x14ac:dyDescent="0.35">
      <c r="A518" s="567">
        <v>36</v>
      </c>
      <c r="B518" s="571" t="s">
        <v>100</v>
      </c>
      <c r="C518" s="454" t="s">
        <v>13</v>
      </c>
      <c r="D518" s="59" t="s">
        <v>14</v>
      </c>
      <c r="E518" s="454"/>
      <c r="F518" s="454"/>
      <c r="G518" s="454"/>
      <c r="H518" s="35"/>
      <c r="I518" s="35"/>
      <c r="J518" s="454" t="s">
        <v>13</v>
      </c>
      <c r="K518" s="59" t="s">
        <v>14</v>
      </c>
      <c r="L518" s="19"/>
      <c r="M518" s="19"/>
      <c r="N518" s="19"/>
      <c r="O518" s="35"/>
      <c r="P518" s="468"/>
      <c r="Q518" s="35"/>
      <c r="R518" s="19"/>
      <c r="S518" s="584" t="s">
        <v>15</v>
      </c>
      <c r="T518" s="2"/>
    </row>
    <row r="519" spans="1:20" s="1" customFormat="1" ht="33" x14ac:dyDescent="0.35">
      <c r="A519" s="568"/>
      <c r="B519" s="572"/>
      <c r="C519" s="19" t="s">
        <v>16</v>
      </c>
      <c r="D519" s="41" t="s">
        <v>17</v>
      </c>
      <c r="E519" s="19" t="s">
        <v>18</v>
      </c>
      <c r="F519" s="19">
        <v>95</v>
      </c>
      <c r="G519" s="19">
        <v>100</v>
      </c>
      <c r="H519" s="24">
        <f>IF(G519/F519*100&gt;100,100,G519/F519*100)</f>
        <v>100</v>
      </c>
      <c r="I519" s="19"/>
      <c r="J519" s="19" t="s">
        <v>16</v>
      </c>
      <c r="K519" s="41" t="s">
        <v>43</v>
      </c>
      <c r="L519" s="19" t="s">
        <v>20</v>
      </c>
      <c r="M519" s="19">
        <v>54</v>
      </c>
      <c r="N519" s="19">
        <v>54</v>
      </c>
      <c r="O519" s="24">
        <f>IF(N519/M519*100&gt;110,110,N519/M519*100)</f>
        <v>100</v>
      </c>
      <c r="P519" s="468"/>
      <c r="Q519" s="35"/>
      <c r="R519" s="19"/>
      <c r="S519" s="585"/>
      <c r="T519" s="2"/>
    </row>
    <row r="520" spans="1:20" s="1" customFormat="1" ht="33" x14ac:dyDescent="0.35">
      <c r="A520" s="568"/>
      <c r="B520" s="572"/>
      <c r="C520" s="19"/>
      <c r="D520" s="41"/>
      <c r="E520" s="19"/>
      <c r="F520" s="19"/>
      <c r="G520" s="19"/>
      <c r="H520" s="24"/>
      <c r="I520" s="19"/>
      <c r="J520" s="19" t="s">
        <v>21</v>
      </c>
      <c r="K520" s="41" t="s">
        <v>29</v>
      </c>
      <c r="L520" s="19" t="s">
        <v>20</v>
      </c>
      <c r="M520" s="19">
        <v>86</v>
      </c>
      <c r="N520" s="19">
        <v>86</v>
      </c>
      <c r="O520" s="24">
        <f>IF(N520/M520*100&gt;110,110,N520/M520*100)</f>
        <v>100</v>
      </c>
      <c r="P520" s="468"/>
      <c r="Q520" s="35"/>
      <c r="R520" s="19"/>
      <c r="S520" s="585"/>
      <c r="T520" s="2"/>
    </row>
    <row r="521" spans="1:20" s="1" customFormat="1" ht="21.75" customHeight="1" x14ac:dyDescent="0.35">
      <c r="A521" s="568"/>
      <c r="B521" s="572"/>
      <c r="C521" s="19"/>
      <c r="D521" s="41"/>
      <c r="E521" s="19"/>
      <c r="F521" s="19"/>
      <c r="G521" s="19"/>
      <c r="H521" s="24"/>
      <c r="I521" s="19"/>
      <c r="J521" s="19" t="s">
        <v>23</v>
      </c>
      <c r="K521" s="41" t="s">
        <v>72</v>
      </c>
      <c r="L521" s="19" t="s">
        <v>20</v>
      </c>
      <c r="M521" s="19">
        <v>42</v>
      </c>
      <c r="N521" s="19">
        <v>42</v>
      </c>
      <c r="O521" s="24">
        <f>IF(N521/M521*100&gt;110,110,N521/M521*100)</f>
        <v>100</v>
      </c>
      <c r="P521" s="468"/>
      <c r="Q521" s="35"/>
      <c r="R521" s="19"/>
      <c r="S521" s="585"/>
      <c r="T521" s="2"/>
    </row>
    <row r="522" spans="1:20" s="1" customFormat="1" ht="50.25" customHeight="1" x14ac:dyDescent="0.35">
      <c r="A522" s="568"/>
      <c r="B522" s="572"/>
      <c r="C522" s="465"/>
      <c r="D522" s="466" t="s">
        <v>644</v>
      </c>
      <c r="E522" s="465"/>
      <c r="F522" s="20"/>
      <c r="G522" s="20"/>
      <c r="H522" s="18"/>
      <c r="I522" s="18">
        <f>H519</f>
        <v>100</v>
      </c>
      <c r="J522" s="128"/>
      <c r="K522" s="466" t="s">
        <v>644</v>
      </c>
      <c r="L522" s="20"/>
      <c r="M522" s="124"/>
      <c r="N522" s="124"/>
      <c r="O522" s="18"/>
      <c r="P522" s="18">
        <f>(O519+O520+O521)/3</f>
        <v>100</v>
      </c>
      <c r="Q522" s="18">
        <f>(I522+P522)/2</f>
        <v>100</v>
      </c>
      <c r="R522" s="465" t="s">
        <v>25</v>
      </c>
      <c r="S522" s="585"/>
      <c r="T522" s="2"/>
    </row>
    <row r="523" spans="1:20" s="1" customFormat="1" ht="31.5" customHeight="1" x14ac:dyDescent="0.35">
      <c r="A523" s="568"/>
      <c r="B523" s="572"/>
      <c r="C523" s="454" t="s">
        <v>26</v>
      </c>
      <c r="D523" s="59" t="s">
        <v>27</v>
      </c>
      <c r="E523" s="19"/>
      <c r="F523" s="19"/>
      <c r="G523" s="19"/>
      <c r="H523" s="35"/>
      <c r="I523" s="35"/>
      <c r="J523" s="454" t="s">
        <v>26</v>
      </c>
      <c r="K523" s="59" t="s">
        <v>27</v>
      </c>
      <c r="L523" s="19"/>
      <c r="M523" s="476"/>
      <c r="N523" s="476"/>
      <c r="O523" s="35"/>
      <c r="P523" s="468"/>
      <c r="Q523" s="35"/>
      <c r="R523" s="19"/>
      <c r="S523" s="585"/>
      <c r="T523" s="2"/>
    </row>
    <row r="524" spans="1:20" s="1" customFormat="1" ht="33" x14ac:dyDescent="0.35">
      <c r="A524" s="568"/>
      <c r="B524" s="572"/>
      <c r="C524" s="19" t="s">
        <v>28</v>
      </c>
      <c r="D524" s="41" t="s">
        <v>17</v>
      </c>
      <c r="E524" s="19" t="s">
        <v>18</v>
      </c>
      <c r="F524" s="19">
        <v>95</v>
      </c>
      <c r="G524" s="19">
        <v>100</v>
      </c>
      <c r="H524" s="24">
        <f>IF(G524/F524*100&gt;100,100,G524/F524*100)</f>
        <v>100</v>
      </c>
      <c r="I524" s="19"/>
      <c r="J524" s="578" t="s">
        <v>28</v>
      </c>
      <c r="K524" s="575" t="s">
        <v>63</v>
      </c>
      <c r="L524" s="575" t="s">
        <v>20</v>
      </c>
      <c r="M524" s="575">
        <v>179</v>
      </c>
      <c r="N524" s="575">
        <v>179</v>
      </c>
      <c r="O524" s="577">
        <v>100</v>
      </c>
      <c r="P524" s="575"/>
      <c r="Q524" s="575"/>
      <c r="R524" s="575"/>
      <c r="S524" s="585"/>
      <c r="T524" s="2"/>
    </row>
    <row r="525" spans="1:20" s="1" customFormat="1" ht="33" x14ac:dyDescent="0.35">
      <c r="A525" s="568"/>
      <c r="B525" s="572"/>
      <c r="C525" s="19" t="s">
        <v>30</v>
      </c>
      <c r="D525" s="41" t="s">
        <v>31</v>
      </c>
      <c r="E525" s="19" t="s">
        <v>32</v>
      </c>
      <c r="F525" s="19">
        <v>35</v>
      </c>
      <c r="G525" s="19">
        <v>20</v>
      </c>
      <c r="H525" s="24">
        <f>IF(F525/G525*100&gt;100,100,F525/G525*100)</f>
        <v>100</v>
      </c>
      <c r="I525" s="19"/>
      <c r="J525" s="579"/>
      <c r="K525" s="583"/>
      <c r="L525" s="583"/>
      <c r="M525" s="583"/>
      <c r="N525" s="583"/>
      <c r="O525" s="594"/>
      <c r="P525" s="583"/>
      <c r="Q525" s="583"/>
      <c r="R525" s="583"/>
      <c r="S525" s="585"/>
      <c r="T525" s="2"/>
    </row>
    <row r="526" spans="1:20" s="1" customFormat="1" x14ac:dyDescent="0.35">
      <c r="A526" s="568"/>
      <c r="B526" s="572"/>
      <c r="C526" s="19"/>
      <c r="D526" s="41"/>
      <c r="E526" s="19"/>
      <c r="F526" s="19"/>
      <c r="G526" s="19"/>
      <c r="H526" s="24"/>
      <c r="I526" s="19"/>
      <c r="J526" s="129" t="s">
        <v>30</v>
      </c>
      <c r="K526" s="41" t="s">
        <v>35</v>
      </c>
      <c r="L526" s="19" t="s">
        <v>20</v>
      </c>
      <c r="M526" s="19">
        <v>3</v>
      </c>
      <c r="N526" s="19">
        <v>3</v>
      </c>
      <c r="O526" s="24">
        <f>IF(N526/M526*100&gt;110,110,N526/M526*100)</f>
        <v>100</v>
      </c>
      <c r="P526" s="468"/>
      <c r="Q526" s="35"/>
      <c r="R526" s="19"/>
      <c r="S526" s="585"/>
      <c r="T526" s="2"/>
    </row>
    <row r="527" spans="1:20" s="1" customFormat="1" ht="55.5" customHeight="1" x14ac:dyDescent="0.35">
      <c r="A527" s="568"/>
      <c r="B527" s="572"/>
      <c r="C527" s="465"/>
      <c r="D527" s="466" t="s">
        <v>644</v>
      </c>
      <c r="E527" s="465"/>
      <c r="F527" s="20"/>
      <c r="G527" s="20"/>
      <c r="H527" s="18"/>
      <c r="I527" s="18">
        <f>(H525+H524)/2</f>
        <v>100</v>
      </c>
      <c r="J527" s="128"/>
      <c r="K527" s="466" t="s">
        <v>644</v>
      </c>
      <c r="L527" s="20"/>
      <c r="M527" s="124"/>
      <c r="N527" s="124"/>
      <c r="O527" s="18"/>
      <c r="P527" s="18">
        <f>(O524+O526)/2</f>
        <v>100</v>
      </c>
      <c r="Q527" s="18">
        <f>(I527+P527)/2</f>
        <v>100</v>
      </c>
      <c r="R527" s="465" t="s">
        <v>25</v>
      </c>
      <c r="S527" s="585"/>
      <c r="T527" s="2"/>
    </row>
    <row r="528" spans="1:20" s="1" customFormat="1" ht="55.5" customHeight="1" x14ac:dyDescent="0.35">
      <c r="A528" s="568"/>
      <c r="B528" s="573"/>
      <c r="C528" s="454" t="s">
        <v>36</v>
      </c>
      <c r="D528" s="59" t="s">
        <v>130</v>
      </c>
      <c r="E528" s="454"/>
      <c r="F528" s="454"/>
      <c r="G528" s="454"/>
      <c r="H528" s="35"/>
      <c r="I528" s="35"/>
      <c r="J528" s="454" t="s">
        <v>36</v>
      </c>
      <c r="K528" s="59" t="s">
        <v>130</v>
      </c>
      <c r="L528" s="19"/>
      <c r="M528" s="19"/>
      <c r="N528" s="19"/>
      <c r="O528" s="35"/>
      <c r="P528" s="35"/>
      <c r="Q528" s="35"/>
      <c r="R528" s="19"/>
      <c r="S528" s="586"/>
      <c r="T528" s="2"/>
    </row>
    <row r="529" spans="1:20" s="1" customFormat="1" ht="55.5" customHeight="1" x14ac:dyDescent="0.35">
      <c r="A529" s="568"/>
      <c r="B529" s="573"/>
      <c r="C529" s="19" t="s">
        <v>38</v>
      </c>
      <c r="D529" s="41" t="s">
        <v>208</v>
      </c>
      <c r="E529" s="19" t="s">
        <v>18</v>
      </c>
      <c r="F529" s="19">
        <v>100</v>
      </c>
      <c r="G529" s="19">
        <v>100</v>
      </c>
      <c r="H529" s="24">
        <f>IF(G529/F529*100&gt;100,100,G529/F529*100)</f>
        <v>100</v>
      </c>
      <c r="I529" s="19"/>
      <c r="J529" s="19" t="s">
        <v>38</v>
      </c>
      <c r="K529" s="455" t="s">
        <v>223</v>
      </c>
      <c r="L529" s="19" t="s">
        <v>158</v>
      </c>
      <c r="M529" s="19"/>
      <c r="N529" s="19"/>
      <c r="O529" s="24"/>
      <c r="P529" s="468"/>
      <c r="Q529" s="35"/>
      <c r="R529" s="19"/>
      <c r="S529" s="586"/>
      <c r="T529" s="2"/>
    </row>
    <row r="530" spans="1:20" s="1" customFormat="1" ht="55.5" customHeight="1" x14ac:dyDescent="0.35">
      <c r="A530" s="568"/>
      <c r="B530" s="573"/>
      <c r="C530" s="19"/>
      <c r="D530" s="41"/>
      <c r="E530" s="19"/>
      <c r="F530" s="477"/>
      <c r="G530" s="477"/>
      <c r="H530" s="24"/>
      <c r="I530" s="19"/>
      <c r="J530" s="19" t="s">
        <v>234</v>
      </c>
      <c r="K530" s="455" t="s">
        <v>291</v>
      </c>
      <c r="L530" s="19" t="s">
        <v>158</v>
      </c>
      <c r="M530" s="19">
        <v>374</v>
      </c>
      <c r="N530" s="19">
        <v>374</v>
      </c>
      <c r="O530" s="24">
        <f>IF(N530/M530*100&gt;110,110,N530/M530*100)</f>
        <v>100</v>
      </c>
      <c r="P530" s="468"/>
      <c r="Q530" s="35"/>
      <c r="R530" s="19"/>
      <c r="S530" s="586"/>
      <c r="T530" s="2"/>
    </row>
    <row r="531" spans="1:20" s="1" customFormat="1" ht="55.5" customHeight="1" x14ac:dyDescent="0.35">
      <c r="A531" s="582"/>
      <c r="B531" s="574"/>
      <c r="C531" s="20"/>
      <c r="D531" s="466" t="s">
        <v>644</v>
      </c>
      <c r="E531" s="465"/>
      <c r="F531" s="20"/>
      <c r="G531" s="20"/>
      <c r="H531" s="18"/>
      <c r="I531" s="18">
        <f>H529</f>
        <v>100</v>
      </c>
      <c r="J531" s="128"/>
      <c r="K531" s="466" t="s">
        <v>644</v>
      </c>
      <c r="L531" s="20"/>
      <c r="M531" s="124"/>
      <c r="N531" s="124"/>
      <c r="O531" s="18"/>
      <c r="P531" s="18">
        <f>O530</f>
        <v>100</v>
      </c>
      <c r="Q531" s="18">
        <f>(I531+P531)/2</f>
        <v>100</v>
      </c>
      <c r="R531" s="465" t="s">
        <v>25</v>
      </c>
      <c r="S531" s="587"/>
      <c r="T531" s="2"/>
    </row>
    <row r="532" spans="1:20" s="1" customFormat="1" ht="76.5" customHeight="1" x14ac:dyDescent="0.35">
      <c r="A532" s="567">
        <v>37</v>
      </c>
      <c r="B532" s="571" t="s">
        <v>101</v>
      </c>
      <c r="C532" s="454" t="s">
        <v>13</v>
      </c>
      <c r="D532" s="59" t="s">
        <v>14</v>
      </c>
      <c r="E532" s="454"/>
      <c r="F532" s="454"/>
      <c r="G532" s="454"/>
      <c r="H532" s="35"/>
      <c r="I532" s="35"/>
      <c r="J532" s="454" t="s">
        <v>13</v>
      </c>
      <c r="K532" s="59" t="s">
        <v>14</v>
      </c>
      <c r="L532" s="19"/>
      <c r="M532" s="19"/>
      <c r="N532" s="19"/>
      <c r="O532" s="35"/>
      <c r="P532" s="67"/>
      <c r="Q532" s="35"/>
      <c r="R532" s="19"/>
      <c r="S532" s="584" t="s">
        <v>15</v>
      </c>
      <c r="T532" s="2"/>
    </row>
    <row r="533" spans="1:20" s="1" customFormat="1" ht="33" x14ac:dyDescent="0.35">
      <c r="A533" s="568"/>
      <c r="B533" s="572"/>
      <c r="C533" s="19" t="s">
        <v>16</v>
      </c>
      <c r="D533" s="41" t="s">
        <v>17</v>
      </c>
      <c r="E533" s="19" t="s">
        <v>18</v>
      </c>
      <c r="F533" s="19">
        <v>95</v>
      </c>
      <c r="G533" s="19">
        <v>100</v>
      </c>
      <c r="H533" s="24">
        <f>IF(G533/F533*100&gt;100,100,G533/F533*100)</f>
        <v>100</v>
      </c>
      <c r="I533" s="19"/>
      <c r="J533" s="19" t="s">
        <v>16</v>
      </c>
      <c r="K533" s="41" t="s">
        <v>43</v>
      </c>
      <c r="L533" s="19" t="s">
        <v>20</v>
      </c>
      <c r="M533" s="19">
        <v>65</v>
      </c>
      <c r="N533" s="19">
        <v>65</v>
      </c>
      <c r="O533" s="24">
        <f>IF(N533/M533*100&gt;110,110,N533/M533*100)</f>
        <v>100</v>
      </c>
      <c r="P533" s="67"/>
      <c r="Q533" s="35"/>
      <c r="R533" s="19"/>
      <c r="S533" s="585"/>
      <c r="T533" s="2"/>
    </row>
    <row r="534" spans="1:20" s="1" customFormat="1" ht="33" x14ac:dyDescent="0.35">
      <c r="A534" s="568"/>
      <c r="B534" s="572"/>
      <c r="C534" s="19"/>
      <c r="D534" s="41"/>
      <c r="E534" s="19"/>
      <c r="F534" s="19"/>
      <c r="G534" s="19"/>
      <c r="H534" s="24"/>
      <c r="I534" s="19"/>
      <c r="J534" s="19" t="s">
        <v>21</v>
      </c>
      <c r="K534" s="41" t="s">
        <v>29</v>
      </c>
      <c r="L534" s="19" t="s">
        <v>20</v>
      </c>
      <c r="M534" s="19">
        <v>158</v>
      </c>
      <c r="N534" s="19">
        <v>158</v>
      </c>
      <c r="O534" s="24">
        <f>IF(N534/M534*100&gt;110,110,N534/M534*100)</f>
        <v>100</v>
      </c>
      <c r="P534" s="67"/>
      <c r="Q534" s="35"/>
      <c r="R534" s="19"/>
      <c r="S534" s="585"/>
      <c r="T534" s="2"/>
    </row>
    <row r="535" spans="1:20" s="1" customFormat="1" ht="30.75" customHeight="1" x14ac:dyDescent="0.35">
      <c r="A535" s="568"/>
      <c r="B535" s="572"/>
      <c r="C535" s="19"/>
      <c r="D535" s="41"/>
      <c r="E535" s="19"/>
      <c r="F535" s="19"/>
      <c r="G535" s="19"/>
      <c r="H535" s="24"/>
      <c r="I535" s="19"/>
      <c r="J535" s="19" t="s">
        <v>23</v>
      </c>
      <c r="K535" s="41" t="s">
        <v>72</v>
      </c>
      <c r="L535" s="19" t="s">
        <v>20</v>
      </c>
      <c r="M535" s="19">
        <v>24</v>
      </c>
      <c r="N535" s="19">
        <v>24</v>
      </c>
      <c r="O535" s="24">
        <f>IF(N535/M535*100&gt;110,110,N535/M535*100)</f>
        <v>100</v>
      </c>
      <c r="P535" s="67"/>
      <c r="Q535" s="35"/>
      <c r="R535" s="19"/>
      <c r="S535" s="585"/>
      <c r="T535" s="2"/>
    </row>
    <row r="536" spans="1:20" s="1" customFormat="1" ht="51.75" customHeight="1" x14ac:dyDescent="0.35">
      <c r="A536" s="568"/>
      <c r="B536" s="572"/>
      <c r="C536" s="465"/>
      <c r="D536" s="466" t="s">
        <v>644</v>
      </c>
      <c r="E536" s="465"/>
      <c r="F536" s="20"/>
      <c r="G536" s="20"/>
      <c r="H536" s="18"/>
      <c r="I536" s="18">
        <f>H533</f>
        <v>100</v>
      </c>
      <c r="J536" s="128"/>
      <c r="K536" s="466" t="s">
        <v>644</v>
      </c>
      <c r="L536" s="20"/>
      <c r="M536" s="124"/>
      <c r="N536" s="124"/>
      <c r="O536" s="18"/>
      <c r="P536" s="18">
        <f>(O533+O534+O535)/3</f>
        <v>100</v>
      </c>
      <c r="Q536" s="18">
        <f>(I536+P536)/2</f>
        <v>100</v>
      </c>
      <c r="R536" s="465" t="s">
        <v>25</v>
      </c>
      <c r="S536" s="585"/>
      <c r="T536" s="2"/>
    </row>
    <row r="537" spans="1:20" s="1" customFormat="1" ht="40.5" customHeight="1" x14ac:dyDescent="0.35">
      <c r="A537" s="568"/>
      <c r="B537" s="572"/>
      <c r="C537" s="454" t="s">
        <v>26</v>
      </c>
      <c r="D537" s="59" t="s">
        <v>27</v>
      </c>
      <c r="E537" s="19"/>
      <c r="F537" s="19"/>
      <c r="G537" s="19"/>
      <c r="H537" s="35"/>
      <c r="I537" s="35"/>
      <c r="J537" s="454" t="s">
        <v>26</v>
      </c>
      <c r="K537" s="59" t="s">
        <v>27</v>
      </c>
      <c r="L537" s="19"/>
      <c r="M537" s="476"/>
      <c r="N537" s="476"/>
      <c r="O537" s="35"/>
      <c r="P537" s="468"/>
      <c r="Q537" s="35"/>
      <c r="R537" s="19"/>
      <c r="S537" s="585"/>
      <c r="T537" s="2"/>
    </row>
    <row r="538" spans="1:20" s="1" customFormat="1" ht="61.5" customHeight="1" x14ac:dyDescent="0.35">
      <c r="A538" s="568"/>
      <c r="B538" s="572"/>
      <c r="C538" s="19" t="s">
        <v>28</v>
      </c>
      <c r="D538" s="41" t="s">
        <v>17</v>
      </c>
      <c r="E538" s="19" t="s">
        <v>18</v>
      </c>
      <c r="F538" s="19">
        <v>95</v>
      </c>
      <c r="G538" s="19">
        <v>100</v>
      </c>
      <c r="H538" s="24">
        <f>IF(G538/F538*100&gt;100,100,G538/F538*100)</f>
        <v>100</v>
      </c>
      <c r="I538" s="19"/>
      <c r="J538" s="129" t="s">
        <v>28</v>
      </c>
      <c r="K538" s="41" t="s">
        <v>63</v>
      </c>
      <c r="L538" s="19" t="s">
        <v>20</v>
      </c>
      <c r="M538" s="19">
        <v>245</v>
      </c>
      <c r="N538" s="19">
        <v>245</v>
      </c>
      <c r="O538" s="24">
        <f>IF(N538/M538*100&gt;110,110,N538/M538*100)</f>
        <v>100</v>
      </c>
      <c r="P538" s="468"/>
      <c r="Q538" s="35"/>
      <c r="R538" s="19"/>
      <c r="S538" s="585"/>
      <c r="T538" s="2"/>
    </row>
    <row r="539" spans="1:20" s="1" customFormat="1" ht="72" customHeight="1" x14ac:dyDescent="0.35">
      <c r="A539" s="568"/>
      <c r="B539" s="572"/>
      <c r="C539" s="19" t="s">
        <v>30</v>
      </c>
      <c r="D539" s="41" t="s">
        <v>31</v>
      </c>
      <c r="E539" s="19" t="s">
        <v>32</v>
      </c>
      <c r="F539" s="19">
        <v>35</v>
      </c>
      <c r="G539" s="19">
        <v>26</v>
      </c>
      <c r="H539" s="24">
        <f>IF(F539/G539*100&gt;100,100,F539/G539*100)</f>
        <v>100</v>
      </c>
      <c r="I539" s="19"/>
      <c r="J539" s="129" t="s">
        <v>30</v>
      </c>
      <c r="K539" s="41" t="s">
        <v>33</v>
      </c>
      <c r="L539" s="19" t="s">
        <v>20</v>
      </c>
      <c r="M539" s="19">
        <v>1</v>
      </c>
      <c r="N539" s="19">
        <v>1</v>
      </c>
      <c r="O539" s="24">
        <v>100</v>
      </c>
      <c r="P539" s="468"/>
      <c r="Q539" s="35"/>
      <c r="R539" s="19"/>
      <c r="S539" s="585"/>
      <c r="T539" s="2"/>
    </row>
    <row r="540" spans="1:20" s="1" customFormat="1" ht="72" customHeight="1" x14ac:dyDescent="0.35">
      <c r="A540" s="568"/>
      <c r="B540" s="572"/>
      <c r="C540" s="19"/>
      <c r="D540" s="41"/>
      <c r="E540" s="19"/>
      <c r="F540" s="19"/>
      <c r="G540" s="19"/>
      <c r="H540" s="24"/>
      <c r="I540" s="19"/>
      <c r="J540" s="129" t="s">
        <v>34</v>
      </c>
      <c r="K540" s="41" t="s">
        <v>35</v>
      </c>
      <c r="L540" s="19" t="s">
        <v>20</v>
      </c>
      <c r="M540" s="19">
        <v>1</v>
      </c>
      <c r="N540" s="19">
        <v>1</v>
      </c>
      <c r="O540" s="24">
        <v>100</v>
      </c>
      <c r="P540" s="468"/>
      <c r="Q540" s="35"/>
      <c r="R540" s="19"/>
      <c r="S540" s="585"/>
      <c r="T540" s="2"/>
    </row>
    <row r="541" spans="1:20" s="1" customFormat="1" ht="48" customHeight="1" x14ac:dyDescent="0.35">
      <c r="A541" s="568"/>
      <c r="B541" s="572"/>
      <c r="C541" s="465"/>
      <c r="D541" s="466" t="s">
        <v>644</v>
      </c>
      <c r="E541" s="465"/>
      <c r="F541" s="20"/>
      <c r="G541" s="20"/>
      <c r="H541" s="18"/>
      <c r="I541" s="18">
        <f>(H539+H538)/2</f>
        <v>100</v>
      </c>
      <c r="J541" s="128"/>
      <c r="K541" s="466" t="s">
        <v>644</v>
      </c>
      <c r="L541" s="20"/>
      <c r="M541" s="124"/>
      <c r="N541" s="124"/>
      <c r="O541" s="18"/>
      <c r="P541" s="18">
        <f>(O540+O538)/2</f>
        <v>100</v>
      </c>
      <c r="Q541" s="18">
        <f>(I541+P541)/2</f>
        <v>100</v>
      </c>
      <c r="R541" s="482" t="s">
        <v>25</v>
      </c>
      <c r="S541" s="585"/>
      <c r="T541" s="2"/>
    </row>
    <row r="542" spans="1:20" s="1" customFormat="1" ht="51.75" customHeight="1" x14ac:dyDescent="0.35">
      <c r="A542" s="568"/>
      <c r="B542" s="573"/>
      <c r="C542" s="454" t="s">
        <v>36</v>
      </c>
      <c r="D542" s="59" t="s">
        <v>130</v>
      </c>
      <c r="E542" s="454"/>
      <c r="F542" s="454"/>
      <c r="G542" s="454"/>
      <c r="H542" s="35"/>
      <c r="I542" s="35"/>
      <c r="J542" s="454" t="s">
        <v>36</v>
      </c>
      <c r="K542" s="59" t="s">
        <v>130</v>
      </c>
      <c r="L542" s="19"/>
      <c r="M542" s="19"/>
      <c r="N542" s="19"/>
      <c r="O542" s="35"/>
      <c r="P542" s="35"/>
      <c r="Q542" s="35"/>
      <c r="R542" s="19"/>
      <c r="S542" s="586"/>
      <c r="T542" s="2"/>
    </row>
    <row r="543" spans="1:20" s="1" customFormat="1" ht="51.75" customHeight="1" x14ac:dyDescent="0.35">
      <c r="A543" s="568"/>
      <c r="B543" s="573"/>
      <c r="C543" s="19" t="s">
        <v>38</v>
      </c>
      <c r="D543" s="41" t="s">
        <v>208</v>
      </c>
      <c r="E543" s="19" t="s">
        <v>18</v>
      </c>
      <c r="F543" s="19">
        <v>100</v>
      </c>
      <c r="G543" s="19">
        <v>100</v>
      </c>
      <c r="H543" s="24">
        <f>IF(G543/F543*100&gt;100,100,G543/F543*100)</f>
        <v>100</v>
      </c>
      <c r="I543" s="19"/>
      <c r="J543" s="19" t="s">
        <v>38</v>
      </c>
      <c r="K543" s="455" t="s">
        <v>223</v>
      </c>
      <c r="L543" s="19" t="s">
        <v>158</v>
      </c>
      <c r="M543" s="19"/>
      <c r="N543" s="19"/>
      <c r="O543" s="24"/>
      <c r="P543" s="468"/>
      <c r="Q543" s="35"/>
      <c r="R543" s="19"/>
      <c r="S543" s="586"/>
      <c r="T543" s="2"/>
    </row>
    <row r="544" spans="1:20" s="1" customFormat="1" ht="51.75" customHeight="1" x14ac:dyDescent="0.35">
      <c r="A544" s="568"/>
      <c r="B544" s="573"/>
      <c r="C544" s="19"/>
      <c r="D544" s="41"/>
      <c r="E544" s="19"/>
      <c r="F544" s="477"/>
      <c r="G544" s="477"/>
      <c r="H544" s="24"/>
      <c r="I544" s="19"/>
      <c r="J544" s="19" t="s">
        <v>234</v>
      </c>
      <c r="K544" s="455" t="s">
        <v>291</v>
      </c>
      <c r="L544" s="19" t="s">
        <v>158</v>
      </c>
      <c r="M544" s="19">
        <v>374</v>
      </c>
      <c r="N544" s="19">
        <v>374</v>
      </c>
      <c r="O544" s="24">
        <f>IF(N544/M544*100&gt;110,110,N544/M544*100)</f>
        <v>100</v>
      </c>
      <c r="P544" s="468"/>
      <c r="Q544" s="35"/>
      <c r="R544" s="19"/>
      <c r="S544" s="586"/>
      <c r="T544" s="2"/>
    </row>
    <row r="545" spans="1:23" s="1" customFormat="1" ht="51.75" customHeight="1" x14ac:dyDescent="0.35">
      <c r="A545" s="582"/>
      <c r="B545" s="574"/>
      <c r="C545" s="20"/>
      <c r="D545" s="466" t="s">
        <v>644</v>
      </c>
      <c r="E545" s="465"/>
      <c r="F545" s="20"/>
      <c r="G545" s="20"/>
      <c r="H545" s="18"/>
      <c r="I545" s="18">
        <f>H543</f>
        <v>100</v>
      </c>
      <c r="J545" s="128"/>
      <c r="K545" s="466" t="s">
        <v>644</v>
      </c>
      <c r="L545" s="20"/>
      <c r="M545" s="124"/>
      <c r="N545" s="124"/>
      <c r="O545" s="18"/>
      <c r="P545" s="18">
        <f>O544</f>
        <v>100</v>
      </c>
      <c r="Q545" s="18">
        <f>(I545+P545)/2</f>
        <v>100</v>
      </c>
      <c r="R545" s="465" t="s">
        <v>25</v>
      </c>
      <c r="S545" s="587"/>
      <c r="T545" s="2"/>
    </row>
    <row r="546" spans="1:23" s="1" customFormat="1" ht="75" customHeight="1" x14ac:dyDescent="0.35">
      <c r="A546" s="605">
        <v>38</v>
      </c>
      <c r="B546" s="541" t="s">
        <v>102</v>
      </c>
      <c r="C546" s="454" t="s">
        <v>13</v>
      </c>
      <c r="D546" s="59" t="s">
        <v>103</v>
      </c>
      <c r="E546" s="454"/>
      <c r="F546" s="454"/>
      <c r="G546" s="454"/>
      <c r="H546" s="35"/>
      <c r="I546" s="35"/>
      <c r="J546" s="454" t="s">
        <v>13</v>
      </c>
      <c r="K546" s="59" t="s">
        <v>103</v>
      </c>
      <c r="L546" s="19"/>
      <c r="M546" s="19"/>
      <c r="N546" s="19"/>
      <c r="O546" s="35"/>
      <c r="P546" s="468"/>
      <c r="Q546" s="35"/>
      <c r="R546" s="19"/>
      <c r="S546" s="584" t="s">
        <v>104</v>
      </c>
      <c r="T546" s="2"/>
    </row>
    <row r="547" spans="1:23" s="1" customFormat="1" ht="72.75" customHeight="1" x14ac:dyDescent="0.35">
      <c r="A547" s="605"/>
      <c r="B547" s="541"/>
      <c r="C547" s="19" t="s">
        <v>16</v>
      </c>
      <c r="D547" s="41" t="s">
        <v>105</v>
      </c>
      <c r="E547" s="19" t="s">
        <v>18</v>
      </c>
      <c r="F547" s="19">
        <v>100</v>
      </c>
      <c r="G547" s="19">
        <v>100</v>
      </c>
      <c r="H547" s="24">
        <f>IF(G547/F547*100&gt;100,100,G547/F547*100)</f>
        <v>100</v>
      </c>
      <c r="I547" s="19"/>
      <c r="J547" s="19" t="s">
        <v>16</v>
      </c>
      <c r="K547" s="41" t="s">
        <v>106</v>
      </c>
      <c r="L547" s="19" t="s">
        <v>20</v>
      </c>
      <c r="M547" s="19">
        <v>319</v>
      </c>
      <c r="N547" s="19">
        <v>321</v>
      </c>
      <c r="O547" s="24">
        <f>IF(N547/M547*100&gt;110,110,N547/M547*100)</f>
        <v>100.62695924764891</v>
      </c>
      <c r="P547" s="468"/>
      <c r="Q547" s="35"/>
      <c r="R547" s="19"/>
      <c r="S547" s="585"/>
      <c r="T547" s="2"/>
      <c r="W547" s="2"/>
    </row>
    <row r="548" spans="1:23" s="1" customFormat="1" ht="52.5" customHeight="1" x14ac:dyDescent="0.35">
      <c r="A548" s="605"/>
      <c r="B548" s="541"/>
      <c r="C548" s="19" t="s">
        <v>21</v>
      </c>
      <c r="D548" s="41" t="s">
        <v>107</v>
      </c>
      <c r="E548" s="19" t="s">
        <v>18</v>
      </c>
      <c r="F548" s="19">
        <v>100</v>
      </c>
      <c r="G548" s="19">
        <v>100</v>
      </c>
      <c r="H548" s="24">
        <f>IF(G548/F548*100&gt;100,100,G548/F548*100)</f>
        <v>100</v>
      </c>
      <c r="I548" s="19"/>
      <c r="J548" s="19"/>
      <c r="K548" s="455"/>
      <c r="L548" s="19"/>
      <c r="M548" s="476"/>
      <c r="N548" s="476"/>
      <c r="O548" s="24"/>
      <c r="P548" s="468"/>
      <c r="Q548" s="35"/>
      <c r="R548" s="19"/>
      <c r="S548" s="585"/>
      <c r="T548" s="2"/>
    </row>
    <row r="549" spans="1:23" s="1" customFormat="1" ht="55.5" customHeight="1" x14ac:dyDescent="0.35">
      <c r="A549" s="605"/>
      <c r="B549" s="541"/>
      <c r="C549" s="19" t="s">
        <v>23</v>
      </c>
      <c r="D549" s="41" t="s">
        <v>108</v>
      </c>
      <c r="E549" s="19" t="s">
        <v>18</v>
      </c>
      <c r="F549" s="19">
        <v>100</v>
      </c>
      <c r="G549" s="19">
        <v>100</v>
      </c>
      <c r="H549" s="24">
        <f>IF(G549/F549*100&gt;100,100,G549/F549*100)</f>
        <v>100</v>
      </c>
      <c r="I549" s="19"/>
      <c r="J549" s="129"/>
      <c r="K549" s="41"/>
      <c r="L549" s="19"/>
      <c r="M549" s="122"/>
      <c r="N549" s="122"/>
      <c r="O549" s="24"/>
      <c r="P549" s="468"/>
      <c r="Q549" s="35"/>
      <c r="R549" s="19"/>
      <c r="S549" s="585"/>
      <c r="T549" s="2"/>
    </row>
    <row r="550" spans="1:23" s="1" customFormat="1" ht="78.75" customHeight="1" x14ac:dyDescent="0.35">
      <c r="A550" s="605"/>
      <c r="B550" s="541"/>
      <c r="C550" s="19" t="s">
        <v>109</v>
      </c>
      <c r="D550" s="41" t="s">
        <v>17</v>
      </c>
      <c r="E550" s="19" t="s">
        <v>18</v>
      </c>
      <c r="F550" s="19">
        <v>90</v>
      </c>
      <c r="G550" s="19">
        <v>90</v>
      </c>
      <c r="H550" s="24">
        <f>IF(G550/F550*100&gt;100,100,G550/F550*100)</f>
        <v>100</v>
      </c>
      <c r="I550" s="19"/>
      <c r="J550" s="129"/>
      <c r="K550" s="41"/>
      <c r="L550" s="19"/>
      <c r="M550" s="122"/>
      <c r="N550" s="122"/>
      <c r="O550" s="24"/>
      <c r="P550" s="468"/>
      <c r="Q550" s="35"/>
      <c r="R550" s="19"/>
      <c r="S550" s="585"/>
      <c r="T550" s="2"/>
    </row>
    <row r="551" spans="1:23" s="1" customFormat="1" ht="131.25" customHeight="1" x14ac:dyDescent="0.35">
      <c r="A551" s="605"/>
      <c r="B551" s="541"/>
      <c r="C551" s="19" t="s">
        <v>110</v>
      </c>
      <c r="D551" s="41" t="s">
        <v>111</v>
      </c>
      <c r="E551" s="19" t="s">
        <v>18</v>
      </c>
      <c r="F551" s="19">
        <v>100</v>
      </c>
      <c r="G551" s="19">
        <v>100</v>
      </c>
      <c r="H551" s="24">
        <f>IF(G551/F551*100&gt;100,100,G551/F551*100)</f>
        <v>100</v>
      </c>
      <c r="I551" s="19"/>
      <c r="J551" s="129"/>
      <c r="K551" s="41"/>
      <c r="L551" s="19"/>
      <c r="M551" s="122"/>
      <c r="N551" s="122"/>
      <c r="O551" s="24"/>
      <c r="P551" s="468"/>
      <c r="Q551" s="35"/>
      <c r="R551" s="19"/>
      <c r="S551" s="585"/>
      <c r="T551" s="2"/>
    </row>
    <row r="552" spans="1:23" s="217" customFormat="1" ht="55.5" customHeight="1" x14ac:dyDescent="0.35">
      <c r="A552" s="605"/>
      <c r="B552" s="541"/>
      <c r="C552" s="465"/>
      <c r="D552" s="466" t="s">
        <v>644</v>
      </c>
      <c r="E552" s="465"/>
      <c r="F552" s="20"/>
      <c r="G552" s="20"/>
      <c r="H552" s="18"/>
      <c r="I552" s="18">
        <f>(H547+H548+H549+H550+H551)/5</f>
        <v>100</v>
      </c>
      <c r="J552" s="128"/>
      <c r="K552" s="466" t="s">
        <v>644</v>
      </c>
      <c r="L552" s="20"/>
      <c r="M552" s="124"/>
      <c r="N552" s="124"/>
      <c r="O552" s="18"/>
      <c r="P552" s="18">
        <f>O547</f>
        <v>100.62695924764891</v>
      </c>
      <c r="Q552" s="18">
        <f>(I552+P552)/2</f>
        <v>100.31347962382446</v>
      </c>
      <c r="R552" s="465" t="s">
        <v>25</v>
      </c>
      <c r="S552" s="585"/>
      <c r="T552" s="216"/>
    </row>
    <row r="553" spans="1:23" s="1" customFormat="1" ht="69" customHeight="1" x14ac:dyDescent="0.35">
      <c r="A553" s="605"/>
      <c r="B553" s="541"/>
      <c r="C553" s="454" t="s">
        <v>26</v>
      </c>
      <c r="D553" s="59" t="s">
        <v>113</v>
      </c>
      <c r="E553" s="19"/>
      <c r="F553" s="19"/>
      <c r="G553" s="19"/>
      <c r="H553" s="35"/>
      <c r="I553" s="35"/>
      <c r="J553" s="454" t="s">
        <v>26</v>
      </c>
      <c r="K553" s="59" t="s">
        <v>113</v>
      </c>
      <c r="L553" s="19"/>
      <c r="M553" s="122"/>
      <c r="N553" s="122"/>
      <c r="O553" s="35"/>
      <c r="P553" s="468"/>
      <c r="Q553" s="35"/>
      <c r="R553" s="19"/>
      <c r="S553" s="585"/>
      <c r="T553" s="2"/>
    </row>
    <row r="554" spans="1:23" s="1" customFormat="1" ht="69" customHeight="1" x14ac:dyDescent="0.35">
      <c r="A554" s="605"/>
      <c r="B554" s="541"/>
      <c r="C554" s="19" t="s">
        <v>28</v>
      </c>
      <c r="D554" s="41" t="s">
        <v>114</v>
      </c>
      <c r="E554" s="19" t="s">
        <v>18</v>
      </c>
      <c r="F554" s="19">
        <v>100</v>
      </c>
      <c r="G554" s="19">
        <v>100</v>
      </c>
      <c r="H554" s="24">
        <f>IF(G554/F554*100&gt;100,100,G554/F554*100)</f>
        <v>100</v>
      </c>
      <c r="I554" s="19"/>
      <c r="J554" s="129" t="s">
        <v>28</v>
      </c>
      <c r="K554" s="41" t="s">
        <v>106</v>
      </c>
      <c r="L554" s="19" t="s">
        <v>20</v>
      </c>
      <c r="M554" s="19">
        <v>429</v>
      </c>
      <c r="N554" s="19">
        <v>425</v>
      </c>
      <c r="O554" s="24">
        <f>IF(N554/M554*100&gt;110,110,N554/M554*100)</f>
        <v>99.067599067599062</v>
      </c>
      <c r="P554" s="19"/>
      <c r="Q554" s="35"/>
      <c r="R554" s="19"/>
      <c r="S554" s="585"/>
      <c r="T554" s="2"/>
    </row>
    <row r="555" spans="1:23" s="1" customFormat="1" ht="63" customHeight="1" x14ac:dyDescent="0.35">
      <c r="A555" s="605"/>
      <c r="B555" s="541"/>
      <c r="C555" s="19" t="s">
        <v>30</v>
      </c>
      <c r="D555" s="41" t="s">
        <v>115</v>
      </c>
      <c r="E555" s="19" t="s">
        <v>18</v>
      </c>
      <c r="F555" s="19">
        <v>100</v>
      </c>
      <c r="G555" s="19">
        <v>100</v>
      </c>
      <c r="H555" s="24">
        <f>IF(G555/F555*100&gt;100,100,G555/F555*100)</f>
        <v>100</v>
      </c>
      <c r="I555" s="19"/>
      <c r="J555" s="129"/>
      <c r="K555" s="41"/>
      <c r="L555" s="19"/>
      <c r="M555" s="122"/>
      <c r="N555" s="122"/>
      <c r="O555" s="24"/>
      <c r="P555" s="468"/>
      <c r="Q555" s="35"/>
      <c r="R555" s="19"/>
      <c r="S555" s="585"/>
      <c r="T555" s="2"/>
    </row>
    <row r="556" spans="1:23" s="1" customFormat="1" ht="50.25" customHeight="1" x14ac:dyDescent="0.35">
      <c r="A556" s="605"/>
      <c r="B556" s="541"/>
      <c r="C556" s="19" t="s">
        <v>34</v>
      </c>
      <c r="D556" s="41" t="s">
        <v>108</v>
      </c>
      <c r="E556" s="19" t="s">
        <v>18</v>
      </c>
      <c r="F556" s="19">
        <v>100</v>
      </c>
      <c r="G556" s="19">
        <v>100</v>
      </c>
      <c r="H556" s="24">
        <f>IF(G556/F556*100&gt;100,100,G556/F556*100)</f>
        <v>100</v>
      </c>
      <c r="I556" s="19"/>
      <c r="J556" s="129"/>
      <c r="K556" s="41"/>
      <c r="L556" s="19"/>
      <c r="M556" s="122"/>
      <c r="N556" s="122"/>
      <c r="O556" s="24"/>
      <c r="P556" s="468"/>
      <c r="Q556" s="35"/>
      <c r="R556" s="19"/>
      <c r="S556" s="585"/>
      <c r="T556" s="2"/>
    </row>
    <row r="557" spans="1:23" s="1" customFormat="1" ht="69" customHeight="1" x14ac:dyDescent="0.35">
      <c r="A557" s="605"/>
      <c r="B557" s="541"/>
      <c r="C557" s="19" t="s">
        <v>78</v>
      </c>
      <c r="D557" s="41" t="s">
        <v>17</v>
      </c>
      <c r="E557" s="19" t="s">
        <v>18</v>
      </c>
      <c r="F557" s="19">
        <v>90</v>
      </c>
      <c r="G557" s="19">
        <v>90</v>
      </c>
      <c r="H557" s="24">
        <f>IF(G557/F557*100&gt;100,100,G557/F557*100)</f>
        <v>100</v>
      </c>
      <c r="I557" s="19"/>
      <c r="J557" s="129"/>
      <c r="K557" s="41"/>
      <c r="L557" s="19"/>
      <c r="M557" s="122"/>
      <c r="N557" s="122"/>
      <c r="O557" s="24"/>
      <c r="P557" s="468"/>
      <c r="Q557" s="35"/>
      <c r="R557" s="19"/>
      <c r="S557" s="585"/>
      <c r="T557" s="2"/>
    </row>
    <row r="558" spans="1:23" s="1" customFormat="1" ht="120.75" customHeight="1" x14ac:dyDescent="0.35">
      <c r="A558" s="605"/>
      <c r="B558" s="541"/>
      <c r="C558" s="19" t="s">
        <v>79</v>
      </c>
      <c r="D558" s="41" t="s">
        <v>111</v>
      </c>
      <c r="E558" s="19" t="s">
        <v>18</v>
      </c>
      <c r="F558" s="19">
        <v>100</v>
      </c>
      <c r="G558" s="19">
        <v>100</v>
      </c>
      <c r="H558" s="24">
        <f>IF(G558/F558*100&gt;100,100,G558/F558*100)</f>
        <v>100</v>
      </c>
      <c r="I558" s="19"/>
      <c r="J558" s="129"/>
      <c r="K558" s="41"/>
      <c r="L558" s="19"/>
      <c r="M558" s="122"/>
      <c r="N558" s="122"/>
      <c r="O558" s="24"/>
      <c r="P558" s="468"/>
      <c r="Q558" s="35"/>
      <c r="R558" s="19"/>
      <c r="S558" s="585"/>
      <c r="T558" s="2"/>
    </row>
    <row r="559" spans="1:23" s="1" customFormat="1" ht="51.75" customHeight="1" x14ac:dyDescent="0.35">
      <c r="A559" s="605"/>
      <c r="B559" s="541"/>
      <c r="C559" s="465"/>
      <c r="D559" s="466" t="s">
        <v>644</v>
      </c>
      <c r="E559" s="465"/>
      <c r="F559" s="20"/>
      <c r="G559" s="20"/>
      <c r="H559" s="18"/>
      <c r="I559" s="18">
        <f>(H554+H555+H556+H557+H558)/5</f>
        <v>100</v>
      </c>
      <c r="J559" s="128"/>
      <c r="K559" s="466" t="s">
        <v>644</v>
      </c>
      <c r="L559" s="20"/>
      <c r="M559" s="124"/>
      <c r="N559" s="124"/>
      <c r="O559" s="18"/>
      <c r="P559" s="18">
        <f>O554</f>
        <v>99.067599067599062</v>
      </c>
      <c r="Q559" s="18">
        <f>(I559+P559)/2</f>
        <v>99.533799533799538</v>
      </c>
      <c r="R559" s="465" t="s">
        <v>112</v>
      </c>
      <c r="S559" s="585"/>
      <c r="T559" s="2"/>
    </row>
    <row r="560" spans="1:23" s="1" customFormat="1" ht="73.5" customHeight="1" x14ac:dyDescent="0.35">
      <c r="A560" s="605"/>
      <c r="B560" s="541"/>
      <c r="C560" s="454" t="s">
        <v>36</v>
      </c>
      <c r="D560" s="59" t="s">
        <v>116</v>
      </c>
      <c r="E560" s="19"/>
      <c r="F560" s="19"/>
      <c r="G560" s="19"/>
      <c r="H560" s="35"/>
      <c r="I560" s="35"/>
      <c r="J560" s="454" t="s">
        <v>36</v>
      </c>
      <c r="K560" s="59" t="str">
        <f>D560</f>
        <v>Реализация основных общеобразовательных программ среднего общего образования</v>
      </c>
      <c r="L560" s="19"/>
      <c r="M560" s="122"/>
      <c r="N560" s="122"/>
      <c r="O560" s="35"/>
      <c r="P560" s="468"/>
      <c r="Q560" s="35"/>
      <c r="R560" s="19"/>
      <c r="S560" s="585"/>
      <c r="T560" s="2"/>
    </row>
    <row r="561" spans="1:20" s="1" customFormat="1" ht="73.5" customHeight="1" x14ac:dyDescent="0.35">
      <c r="A561" s="605"/>
      <c r="B561" s="541"/>
      <c r="C561" s="19" t="s">
        <v>38</v>
      </c>
      <c r="D561" s="41" t="s">
        <v>117</v>
      </c>
      <c r="E561" s="19" t="s">
        <v>18</v>
      </c>
      <c r="F561" s="19">
        <v>100</v>
      </c>
      <c r="G561" s="19">
        <v>100</v>
      </c>
      <c r="H561" s="24">
        <f>IF(G561/F561*100&gt;100,100,G561/F561*100)</f>
        <v>100</v>
      </c>
      <c r="I561" s="19"/>
      <c r="J561" s="129" t="s">
        <v>38</v>
      </c>
      <c r="K561" s="41" t="s">
        <v>106</v>
      </c>
      <c r="L561" s="19" t="s">
        <v>20</v>
      </c>
      <c r="M561" s="19">
        <v>97</v>
      </c>
      <c r="N561" s="19">
        <v>94</v>
      </c>
      <c r="O561" s="24">
        <f>IF(N561/M561*100&gt;110,110,N561/M561*100)</f>
        <v>96.907216494845358</v>
      </c>
      <c r="P561" s="19"/>
      <c r="Q561" s="35"/>
      <c r="R561" s="19"/>
      <c r="S561" s="585"/>
      <c r="T561" s="2"/>
    </row>
    <row r="562" spans="1:20" s="1" customFormat="1" ht="73.5" customHeight="1" x14ac:dyDescent="0.35">
      <c r="A562" s="605"/>
      <c r="B562" s="541"/>
      <c r="C562" s="19" t="s">
        <v>118</v>
      </c>
      <c r="D562" s="41" t="s">
        <v>119</v>
      </c>
      <c r="E562" s="19" t="s">
        <v>18</v>
      </c>
      <c r="F562" s="19">
        <v>100</v>
      </c>
      <c r="G562" s="19">
        <v>100</v>
      </c>
      <c r="H562" s="24">
        <f>IF(G562/F562*100&gt;100,100,G562/F562*100)</f>
        <v>100</v>
      </c>
      <c r="I562" s="19"/>
      <c r="J562" s="129"/>
      <c r="K562" s="41"/>
      <c r="L562" s="19"/>
      <c r="M562" s="122"/>
      <c r="N562" s="122"/>
      <c r="O562" s="24"/>
      <c r="P562" s="468"/>
      <c r="Q562" s="35"/>
      <c r="R562" s="19"/>
      <c r="S562" s="585"/>
      <c r="T562" s="2"/>
    </row>
    <row r="563" spans="1:20" s="1" customFormat="1" ht="73.5" customHeight="1" x14ac:dyDescent="0.35">
      <c r="A563" s="605"/>
      <c r="B563" s="541"/>
      <c r="C563" s="19" t="s">
        <v>120</v>
      </c>
      <c r="D563" s="41" t="s">
        <v>108</v>
      </c>
      <c r="E563" s="19" t="s">
        <v>18</v>
      </c>
      <c r="F563" s="19">
        <v>100</v>
      </c>
      <c r="G563" s="19">
        <v>100</v>
      </c>
      <c r="H563" s="24">
        <f>IF(G563/F563*100&gt;100,100,G563/F563*100)</f>
        <v>100</v>
      </c>
      <c r="I563" s="19"/>
      <c r="J563" s="129"/>
      <c r="K563" s="41"/>
      <c r="L563" s="19"/>
      <c r="M563" s="122"/>
      <c r="N563" s="122"/>
      <c r="O563" s="24"/>
      <c r="P563" s="468"/>
      <c r="Q563" s="35"/>
      <c r="R563" s="19"/>
      <c r="S563" s="585"/>
      <c r="T563" s="2"/>
    </row>
    <row r="564" spans="1:20" s="1" customFormat="1" ht="73.5" customHeight="1" x14ac:dyDescent="0.35">
      <c r="A564" s="605"/>
      <c r="B564" s="541"/>
      <c r="C564" s="19" t="s">
        <v>121</v>
      </c>
      <c r="D564" s="41" t="s">
        <v>17</v>
      </c>
      <c r="E564" s="19" t="s">
        <v>18</v>
      </c>
      <c r="F564" s="19">
        <v>90</v>
      </c>
      <c r="G564" s="19">
        <v>90</v>
      </c>
      <c r="H564" s="24">
        <f>IF(G564/F564*100&gt;100,100,G564/F564*100)</f>
        <v>100</v>
      </c>
      <c r="I564" s="19"/>
      <c r="J564" s="129"/>
      <c r="K564" s="41"/>
      <c r="L564" s="19"/>
      <c r="M564" s="122"/>
      <c r="N564" s="122"/>
      <c r="O564" s="24"/>
      <c r="P564" s="468"/>
      <c r="Q564" s="35"/>
      <c r="R564" s="19"/>
      <c r="S564" s="585"/>
      <c r="T564" s="2"/>
    </row>
    <row r="565" spans="1:20" s="1" customFormat="1" ht="114" customHeight="1" x14ac:dyDescent="0.35">
      <c r="A565" s="605"/>
      <c r="B565" s="541"/>
      <c r="C565" s="19" t="s">
        <v>122</v>
      </c>
      <c r="D565" s="41" t="s">
        <v>111</v>
      </c>
      <c r="E565" s="19" t="s">
        <v>18</v>
      </c>
      <c r="F565" s="19">
        <v>100</v>
      </c>
      <c r="G565" s="19">
        <v>100</v>
      </c>
      <c r="H565" s="24">
        <f>IF(G565/F565*100&gt;100,100,G565/F565*100)</f>
        <v>100</v>
      </c>
      <c r="I565" s="19"/>
      <c r="J565" s="129"/>
      <c r="K565" s="41"/>
      <c r="L565" s="19"/>
      <c r="M565" s="122"/>
      <c r="N565" s="122"/>
      <c r="O565" s="24"/>
      <c r="P565" s="468"/>
      <c r="Q565" s="35"/>
      <c r="R565" s="19"/>
      <c r="S565" s="585"/>
      <c r="T565" s="2"/>
    </row>
    <row r="566" spans="1:20" s="1" customFormat="1" ht="51.75" customHeight="1" x14ac:dyDescent="0.35">
      <c r="A566" s="605"/>
      <c r="B566" s="541"/>
      <c r="C566" s="465"/>
      <c r="D566" s="466" t="s">
        <v>644</v>
      </c>
      <c r="E566" s="465"/>
      <c r="F566" s="20"/>
      <c r="G566" s="20"/>
      <c r="H566" s="18"/>
      <c r="I566" s="18">
        <f>(H561+H562+H563+H564+H565)/5</f>
        <v>100</v>
      </c>
      <c r="J566" s="128"/>
      <c r="K566" s="466" t="s">
        <v>644</v>
      </c>
      <c r="L566" s="20"/>
      <c r="M566" s="124"/>
      <c r="N566" s="124"/>
      <c r="O566" s="18"/>
      <c r="P566" s="18">
        <f>O561</f>
        <v>96.907216494845358</v>
      </c>
      <c r="Q566" s="18">
        <f>(I566+P566)/2</f>
        <v>98.453608247422679</v>
      </c>
      <c r="R566" s="465" t="s">
        <v>112</v>
      </c>
      <c r="S566" s="585"/>
      <c r="T566" s="2"/>
    </row>
    <row r="567" spans="1:20" s="1" customFormat="1" ht="34.5" customHeight="1" x14ac:dyDescent="0.35">
      <c r="A567" s="605"/>
      <c r="B567" s="541"/>
      <c r="C567" s="454" t="s">
        <v>123</v>
      </c>
      <c r="D567" s="59" t="s">
        <v>27</v>
      </c>
      <c r="E567" s="19"/>
      <c r="F567" s="19"/>
      <c r="G567" s="19"/>
      <c r="H567" s="35"/>
      <c r="I567" s="35"/>
      <c r="J567" s="454" t="s">
        <v>123</v>
      </c>
      <c r="K567" s="59" t="s">
        <v>27</v>
      </c>
      <c r="L567" s="19"/>
      <c r="M567" s="122"/>
      <c r="N567" s="122"/>
      <c r="O567" s="35"/>
      <c r="P567" s="468"/>
      <c r="Q567" s="35"/>
      <c r="R567" s="19"/>
      <c r="S567" s="585"/>
      <c r="T567" s="2"/>
    </row>
    <row r="568" spans="1:20" s="1" customFormat="1" ht="49.5" customHeight="1" x14ac:dyDescent="0.35">
      <c r="A568" s="605"/>
      <c r="B568" s="541"/>
      <c r="C568" s="19" t="s">
        <v>124</v>
      </c>
      <c r="D568" s="41" t="s">
        <v>125</v>
      </c>
      <c r="E568" s="19" t="s">
        <v>18</v>
      </c>
      <c r="F568" s="19">
        <v>100</v>
      </c>
      <c r="G568" s="19">
        <v>100</v>
      </c>
      <c r="H568" s="24">
        <f>IF(G568/F568*100&gt;100,100,G568/F568*100)</f>
        <v>100</v>
      </c>
      <c r="I568" s="19"/>
      <c r="J568" s="129" t="s">
        <v>124</v>
      </c>
      <c r="K568" s="41" t="s">
        <v>126</v>
      </c>
      <c r="L568" s="19" t="s">
        <v>20</v>
      </c>
      <c r="M568" s="19">
        <v>158</v>
      </c>
      <c r="N568" s="19">
        <v>161</v>
      </c>
      <c r="O568" s="24">
        <f>IF(N568/M568*100&gt;110,110,N568/M568*100)</f>
        <v>101.8987341772152</v>
      </c>
      <c r="P568" s="468"/>
      <c r="Q568" s="35"/>
      <c r="R568" s="19"/>
      <c r="S568" s="585"/>
      <c r="T568" s="2"/>
    </row>
    <row r="569" spans="1:20" s="1" customFormat="1" ht="81.75" customHeight="1" x14ac:dyDescent="0.35">
      <c r="A569" s="605"/>
      <c r="B569" s="541"/>
      <c r="C569" s="19" t="s">
        <v>127</v>
      </c>
      <c r="D569" s="41" t="s">
        <v>128</v>
      </c>
      <c r="E569" s="19" t="s">
        <v>18</v>
      </c>
      <c r="F569" s="19">
        <v>90</v>
      </c>
      <c r="G569" s="19">
        <v>90</v>
      </c>
      <c r="H569" s="24">
        <f>IF(G569/F569*100&gt;100,100,G569/F569*100)</f>
        <v>100</v>
      </c>
      <c r="I569" s="19"/>
      <c r="J569" s="129"/>
      <c r="K569" s="41"/>
      <c r="L569" s="19"/>
      <c r="M569" s="122"/>
      <c r="N569" s="122"/>
      <c r="O569" s="24"/>
      <c r="P569" s="468"/>
      <c r="Q569" s="35"/>
      <c r="R569" s="19"/>
      <c r="S569" s="585"/>
      <c r="T569" s="2"/>
    </row>
    <row r="570" spans="1:20" s="1" customFormat="1" ht="52.5" customHeight="1" x14ac:dyDescent="0.35">
      <c r="A570" s="605"/>
      <c r="B570" s="541"/>
      <c r="C570" s="465"/>
      <c r="D570" s="466" t="s">
        <v>644</v>
      </c>
      <c r="E570" s="465"/>
      <c r="F570" s="20"/>
      <c r="G570" s="20"/>
      <c r="H570" s="18"/>
      <c r="I570" s="18">
        <f>(H568+H569)/2</f>
        <v>100</v>
      </c>
      <c r="J570" s="128"/>
      <c r="K570" s="466" t="s">
        <v>644</v>
      </c>
      <c r="L570" s="20"/>
      <c r="M570" s="124"/>
      <c r="N570" s="124"/>
      <c r="O570" s="18"/>
      <c r="P570" s="18">
        <f>O568</f>
        <v>101.8987341772152</v>
      </c>
      <c r="Q570" s="18">
        <f>(I570+P570)/2</f>
        <v>100.9493670886076</v>
      </c>
      <c r="R570" s="465" t="s">
        <v>25</v>
      </c>
      <c r="S570" s="585"/>
      <c r="T570" s="2"/>
    </row>
    <row r="571" spans="1:20" s="1" customFormat="1" ht="249" customHeight="1" x14ac:dyDescent="0.35">
      <c r="A571" s="605"/>
      <c r="B571" s="541"/>
      <c r="C571" s="454" t="s">
        <v>129</v>
      </c>
      <c r="D571" s="59" t="s">
        <v>274</v>
      </c>
      <c r="E571" s="454"/>
      <c r="F571" s="454"/>
      <c r="G571" s="454"/>
      <c r="H571" s="35"/>
      <c r="I571" s="35"/>
      <c r="J571" s="454" t="s">
        <v>129</v>
      </c>
      <c r="K571" s="59" t="s">
        <v>274</v>
      </c>
      <c r="L571" s="19"/>
      <c r="M571" s="19"/>
      <c r="N571" s="19"/>
      <c r="O571" s="35"/>
      <c r="P571" s="468"/>
      <c r="Q571" s="35"/>
      <c r="R571" s="19"/>
      <c r="S571" s="585"/>
      <c r="T571" s="2"/>
    </row>
    <row r="572" spans="1:20" s="1" customFormat="1" ht="69.75" customHeight="1" x14ac:dyDescent="0.35">
      <c r="A572" s="605"/>
      <c r="B572" s="541"/>
      <c r="C572" s="19" t="s">
        <v>131</v>
      </c>
      <c r="D572" s="41" t="s">
        <v>17</v>
      </c>
      <c r="E572" s="19" t="s">
        <v>18</v>
      </c>
      <c r="F572" s="19">
        <v>90</v>
      </c>
      <c r="G572" s="19">
        <v>90</v>
      </c>
      <c r="H572" s="24">
        <f>IF(G572/F572*100&gt;100,100,G572/F572*100)</f>
        <v>100</v>
      </c>
      <c r="I572" s="19"/>
      <c r="J572" s="19" t="s">
        <v>131</v>
      </c>
      <c r="K572" s="41" t="s">
        <v>273</v>
      </c>
      <c r="L572" s="19" t="s">
        <v>41</v>
      </c>
      <c r="M572" s="19">
        <v>120</v>
      </c>
      <c r="N572" s="19">
        <v>120</v>
      </c>
      <c r="O572" s="24">
        <f>IF(N572/M572*100&gt;110,110,N572/M572*100)</f>
        <v>100</v>
      </c>
      <c r="P572" s="468"/>
      <c r="Q572" s="35"/>
      <c r="R572" s="19"/>
      <c r="S572" s="585"/>
      <c r="T572" s="2"/>
    </row>
    <row r="573" spans="1:20" s="1" customFormat="1" ht="58.5" customHeight="1" x14ac:dyDescent="0.35">
      <c r="A573" s="605"/>
      <c r="B573" s="541"/>
      <c r="C573" s="465"/>
      <c r="D573" s="466" t="s">
        <v>644</v>
      </c>
      <c r="E573" s="465"/>
      <c r="F573" s="20"/>
      <c r="G573" s="20"/>
      <c r="H573" s="18"/>
      <c r="I573" s="18">
        <f>H572</f>
        <v>100</v>
      </c>
      <c r="J573" s="128"/>
      <c r="K573" s="466" t="s">
        <v>644</v>
      </c>
      <c r="L573" s="20"/>
      <c r="M573" s="124"/>
      <c r="N573" s="124"/>
      <c r="O573" s="18"/>
      <c r="P573" s="18">
        <f>O572</f>
        <v>100</v>
      </c>
      <c r="Q573" s="18">
        <f>(I573+P573)/2</f>
        <v>100</v>
      </c>
      <c r="R573" s="465" t="s">
        <v>25</v>
      </c>
      <c r="S573" s="585"/>
      <c r="T573" s="2"/>
    </row>
    <row r="574" spans="1:20" s="1" customFormat="1" ht="57" customHeight="1" x14ac:dyDescent="0.35">
      <c r="A574" s="605"/>
      <c r="B574" s="541"/>
      <c r="C574" s="454" t="s">
        <v>140</v>
      </c>
      <c r="D574" s="59" t="s">
        <v>130</v>
      </c>
      <c r="E574" s="19"/>
      <c r="F574" s="19"/>
      <c r="G574" s="19"/>
      <c r="H574" s="35"/>
      <c r="I574" s="35"/>
      <c r="J574" s="454" t="s">
        <v>140</v>
      </c>
      <c r="K574" s="59" t="str">
        <f>D574</f>
        <v>Реализация дополнительных общеразвивающих программ</v>
      </c>
      <c r="L574" s="19"/>
      <c r="M574" s="122"/>
      <c r="N574" s="122"/>
      <c r="O574" s="35"/>
      <c r="P574" s="468"/>
      <c r="Q574" s="35"/>
      <c r="R574" s="19"/>
      <c r="S574" s="585"/>
      <c r="T574" s="2"/>
    </row>
    <row r="575" spans="1:20" s="1" customFormat="1" ht="72" customHeight="1" x14ac:dyDescent="0.35">
      <c r="A575" s="605"/>
      <c r="B575" s="541"/>
      <c r="C575" s="19" t="s">
        <v>142</v>
      </c>
      <c r="D575" s="41" t="s">
        <v>128</v>
      </c>
      <c r="E575" s="19" t="s">
        <v>18</v>
      </c>
      <c r="F575" s="19">
        <v>90</v>
      </c>
      <c r="G575" s="19">
        <v>90</v>
      </c>
      <c r="H575" s="24">
        <f>IF(G575/F575*100&gt;100,100,G575/F575*100)</f>
        <v>100</v>
      </c>
      <c r="I575" s="19"/>
      <c r="J575" s="129" t="s">
        <v>142</v>
      </c>
      <c r="K575" s="41" t="s">
        <v>132</v>
      </c>
      <c r="L575" s="19" t="s">
        <v>133</v>
      </c>
      <c r="M575" s="19">
        <v>66096</v>
      </c>
      <c r="N575" s="19">
        <v>69644</v>
      </c>
      <c r="O575" s="24">
        <f>IF(N575/M575*100&gt;110,110,N575/M575*100)</f>
        <v>105.36794964899541</v>
      </c>
      <c r="P575" s="468"/>
      <c r="Q575" s="35"/>
      <c r="R575" s="19"/>
      <c r="S575" s="585"/>
      <c r="T575" s="2"/>
    </row>
    <row r="576" spans="1:20" s="1" customFormat="1" ht="54" customHeight="1" x14ac:dyDescent="0.35">
      <c r="A576" s="605"/>
      <c r="B576" s="541"/>
      <c r="C576" s="465"/>
      <c r="D576" s="466" t="s">
        <v>644</v>
      </c>
      <c r="E576" s="465"/>
      <c r="F576" s="20"/>
      <c r="G576" s="20"/>
      <c r="H576" s="18"/>
      <c r="I576" s="18">
        <f>H575</f>
        <v>100</v>
      </c>
      <c r="J576" s="128"/>
      <c r="K576" s="466" t="s">
        <v>644</v>
      </c>
      <c r="L576" s="20"/>
      <c r="M576" s="124"/>
      <c r="N576" s="124"/>
      <c r="O576" s="18"/>
      <c r="P576" s="18">
        <f>O575</f>
        <v>105.36794964899541</v>
      </c>
      <c r="Q576" s="18">
        <f>(I576+P576)/2</f>
        <v>102.68397482449771</v>
      </c>
      <c r="R576" s="465" t="s">
        <v>25</v>
      </c>
      <c r="S576" s="602"/>
      <c r="T576" s="2"/>
    </row>
    <row r="577" spans="1:20" s="1" customFormat="1" ht="88.5" customHeight="1" x14ac:dyDescent="0.35">
      <c r="A577" s="605">
        <v>39</v>
      </c>
      <c r="B577" s="541" t="s">
        <v>134</v>
      </c>
      <c r="C577" s="454" t="s">
        <v>13</v>
      </c>
      <c r="D577" s="59" t="s">
        <v>103</v>
      </c>
      <c r="E577" s="454"/>
      <c r="F577" s="454"/>
      <c r="G577" s="454"/>
      <c r="H577" s="35"/>
      <c r="I577" s="35"/>
      <c r="J577" s="454" t="s">
        <v>13</v>
      </c>
      <c r="K577" s="59" t="s">
        <v>103</v>
      </c>
      <c r="L577" s="19"/>
      <c r="M577" s="19"/>
      <c r="N577" s="19"/>
      <c r="O577" s="35"/>
      <c r="P577" s="468"/>
      <c r="Q577" s="35"/>
      <c r="R577" s="19"/>
      <c r="S577" s="557" t="s">
        <v>104</v>
      </c>
      <c r="T577" s="2"/>
    </row>
    <row r="578" spans="1:20" s="1" customFormat="1" ht="78.75" customHeight="1" x14ac:dyDescent="0.35">
      <c r="A578" s="605"/>
      <c r="B578" s="541"/>
      <c r="C578" s="19" t="s">
        <v>16</v>
      </c>
      <c r="D578" s="41" t="s">
        <v>105</v>
      </c>
      <c r="E578" s="19" t="s">
        <v>18</v>
      </c>
      <c r="F578" s="19">
        <v>100</v>
      </c>
      <c r="G578" s="19">
        <v>100</v>
      </c>
      <c r="H578" s="24">
        <f>IF(G578/F578*100&gt;100,100,G578/F578*100)</f>
        <v>100</v>
      </c>
      <c r="I578" s="19"/>
      <c r="J578" s="19" t="s">
        <v>16</v>
      </c>
      <c r="K578" s="41" t="s">
        <v>106</v>
      </c>
      <c r="L578" s="19" t="s">
        <v>20</v>
      </c>
      <c r="M578" s="19">
        <v>229</v>
      </c>
      <c r="N578" s="19">
        <v>224</v>
      </c>
      <c r="O578" s="24">
        <f>IF(N578/M578*100&gt;110,110,N578/M578*100)</f>
        <v>97.816593886462883</v>
      </c>
      <c r="P578" s="468"/>
      <c r="Q578" s="35"/>
      <c r="R578" s="19"/>
      <c r="S578" s="557"/>
      <c r="T578" s="2"/>
    </row>
    <row r="579" spans="1:20" s="1" customFormat="1" ht="37.5" customHeight="1" x14ac:dyDescent="0.35">
      <c r="A579" s="605"/>
      <c r="B579" s="541"/>
      <c r="C579" s="19" t="s">
        <v>21</v>
      </c>
      <c r="D579" s="41" t="s">
        <v>135</v>
      </c>
      <c r="E579" s="19" t="s">
        <v>18</v>
      </c>
      <c r="F579" s="19">
        <v>100</v>
      </c>
      <c r="G579" s="19">
        <v>100</v>
      </c>
      <c r="H579" s="24">
        <f>IF(G579/F579*100&gt;100,100,G579/F579*100)</f>
        <v>100</v>
      </c>
      <c r="I579" s="19"/>
      <c r="J579" s="19"/>
      <c r="K579" s="455"/>
      <c r="L579" s="19"/>
      <c r="M579" s="476"/>
      <c r="N579" s="476"/>
      <c r="O579" s="24"/>
      <c r="P579" s="468"/>
      <c r="Q579" s="35"/>
      <c r="R579" s="19"/>
      <c r="S579" s="557"/>
      <c r="T579" s="2"/>
    </row>
    <row r="580" spans="1:20" s="1" customFormat="1" ht="49.5" customHeight="1" x14ac:dyDescent="0.35">
      <c r="A580" s="605"/>
      <c r="B580" s="541"/>
      <c r="C580" s="19" t="s">
        <v>23</v>
      </c>
      <c r="D580" s="41" t="s">
        <v>108</v>
      </c>
      <c r="E580" s="19" t="s">
        <v>18</v>
      </c>
      <c r="F580" s="19">
        <v>100</v>
      </c>
      <c r="G580" s="19">
        <v>100</v>
      </c>
      <c r="H580" s="24">
        <f>IF(G580/F580*100&gt;100,100,G580/F580*100)</f>
        <v>100</v>
      </c>
      <c r="I580" s="19"/>
      <c r="J580" s="129"/>
      <c r="K580" s="41"/>
      <c r="L580" s="19"/>
      <c r="M580" s="122"/>
      <c r="N580" s="122"/>
      <c r="O580" s="24"/>
      <c r="P580" s="468"/>
      <c r="Q580" s="35"/>
      <c r="R580" s="19"/>
      <c r="S580" s="557"/>
      <c r="T580" s="2"/>
    </row>
    <row r="581" spans="1:20" s="1" customFormat="1" ht="63.75" customHeight="1" x14ac:dyDescent="0.35">
      <c r="A581" s="605"/>
      <c r="B581" s="541"/>
      <c r="C581" s="19" t="s">
        <v>109</v>
      </c>
      <c r="D581" s="41" t="s">
        <v>17</v>
      </c>
      <c r="E581" s="19" t="s">
        <v>18</v>
      </c>
      <c r="F581" s="19">
        <v>90</v>
      </c>
      <c r="G581" s="19">
        <v>100</v>
      </c>
      <c r="H581" s="24">
        <f>IF(G581/F581*100&gt;100,100,G581/F581*100)</f>
        <v>100</v>
      </c>
      <c r="I581" s="19"/>
      <c r="J581" s="129"/>
      <c r="K581" s="41"/>
      <c r="L581" s="19"/>
      <c r="M581" s="122"/>
      <c r="N581" s="122"/>
      <c r="O581" s="24"/>
      <c r="P581" s="468"/>
      <c r="Q581" s="35"/>
      <c r="R581" s="19"/>
      <c r="S581" s="557"/>
      <c r="T581" s="2"/>
    </row>
    <row r="582" spans="1:20" s="1" customFormat="1" ht="114" customHeight="1" x14ac:dyDescent="0.35">
      <c r="A582" s="605"/>
      <c r="B582" s="541"/>
      <c r="C582" s="19" t="s">
        <v>110</v>
      </c>
      <c r="D582" s="41" t="s">
        <v>111</v>
      </c>
      <c r="E582" s="19" t="s">
        <v>18</v>
      </c>
      <c r="F582" s="19">
        <v>100</v>
      </c>
      <c r="G582" s="19">
        <v>100</v>
      </c>
      <c r="H582" s="24">
        <f>IF(G582/F582*100&gt;100,100,G582/F582*100)</f>
        <v>100</v>
      </c>
      <c r="I582" s="19"/>
      <c r="J582" s="129"/>
      <c r="K582" s="41"/>
      <c r="L582" s="19"/>
      <c r="M582" s="122"/>
      <c r="N582" s="122"/>
      <c r="O582" s="24"/>
      <c r="P582" s="468"/>
      <c r="Q582" s="35"/>
      <c r="R582" s="19"/>
      <c r="S582" s="557"/>
      <c r="T582" s="2"/>
    </row>
    <row r="583" spans="1:20" s="1" customFormat="1" ht="60" customHeight="1" x14ac:dyDescent="0.35">
      <c r="A583" s="605"/>
      <c r="B583" s="541"/>
      <c r="C583" s="465"/>
      <c r="D583" s="466" t="s">
        <v>644</v>
      </c>
      <c r="E583" s="465"/>
      <c r="F583" s="20"/>
      <c r="G583" s="20"/>
      <c r="H583" s="18"/>
      <c r="I583" s="18">
        <f>(H578+H579+H580+H581+H582)/5</f>
        <v>100</v>
      </c>
      <c r="J583" s="128"/>
      <c r="K583" s="466" t="s">
        <v>644</v>
      </c>
      <c r="L583" s="20"/>
      <c r="M583" s="124"/>
      <c r="N583" s="124"/>
      <c r="O583" s="18"/>
      <c r="P583" s="18">
        <f>O578</f>
        <v>97.816593886462883</v>
      </c>
      <c r="Q583" s="18">
        <f>(I583+P583)/2</f>
        <v>98.908296943231448</v>
      </c>
      <c r="R583" s="465" t="s">
        <v>112</v>
      </c>
      <c r="S583" s="557"/>
      <c r="T583" s="2"/>
    </row>
    <row r="584" spans="1:20" s="1" customFormat="1" ht="90" customHeight="1" x14ac:dyDescent="0.35">
      <c r="A584" s="605"/>
      <c r="B584" s="541"/>
      <c r="C584" s="454" t="s">
        <v>26</v>
      </c>
      <c r="D584" s="59" t="s">
        <v>113</v>
      </c>
      <c r="E584" s="19"/>
      <c r="F584" s="19"/>
      <c r="G584" s="19"/>
      <c r="H584" s="35"/>
      <c r="I584" s="35"/>
      <c r="J584" s="454" t="s">
        <v>26</v>
      </c>
      <c r="K584" s="59" t="str">
        <f>D584</f>
        <v>Реализация основных общеобразовательных программ основного общего образования</v>
      </c>
      <c r="L584" s="19"/>
      <c r="M584" s="122"/>
      <c r="N584" s="122"/>
      <c r="O584" s="35"/>
      <c r="P584" s="468"/>
      <c r="Q584" s="35"/>
      <c r="R584" s="19"/>
      <c r="S584" s="557"/>
      <c r="T584" s="2"/>
    </row>
    <row r="585" spans="1:20" s="1" customFormat="1" ht="75.75" customHeight="1" x14ac:dyDescent="0.35">
      <c r="A585" s="605"/>
      <c r="B585" s="541"/>
      <c r="C585" s="19" t="s">
        <v>28</v>
      </c>
      <c r="D585" s="41" t="s">
        <v>114</v>
      </c>
      <c r="E585" s="19" t="s">
        <v>18</v>
      </c>
      <c r="F585" s="19">
        <v>100</v>
      </c>
      <c r="G585" s="19">
        <v>100</v>
      </c>
      <c r="H585" s="24">
        <f>IF(G585/F585*100&gt;100,100,G585/F585*100)</f>
        <v>100</v>
      </c>
      <c r="I585" s="19"/>
      <c r="J585" s="129" t="s">
        <v>28</v>
      </c>
      <c r="K585" s="41" t="s">
        <v>106</v>
      </c>
      <c r="L585" s="19" t="s">
        <v>20</v>
      </c>
      <c r="M585" s="19">
        <v>252</v>
      </c>
      <c r="N585" s="19">
        <v>261</v>
      </c>
      <c r="O585" s="24">
        <f>IF(N585/M585*100&gt;110,110,N585/M585*100)</f>
        <v>103.57142857142858</v>
      </c>
      <c r="P585" s="19"/>
      <c r="Q585" s="35"/>
      <c r="R585" s="19"/>
      <c r="S585" s="557"/>
      <c r="T585" s="2"/>
    </row>
    <row r="586" spans="1:20" s="1" customFormat="1" ht="39.75" customHeight="1" x14ac:dyDescent="0.35">
      <c r="A586" s="605"/>
      <c r="B586" s="541"/>
      <c r="C586" s="19" t="s">
        <v>30</v>
      </c>
      <c r="D586" s="41" t="s">
        <v>115</v>
      </c>
      <c r="E586" s="19" t="s">
        <v>18</v>
      </c>
      <c r="F586" s="19">
        <v>100</v>
      </c>
      <c r="G586" s="19">
        <v>100</v>
      </c>
      <c r="H586" s="24">
        <f>IF(G586/F586*100&gt;100,100,G586/F586*100)</f>
        <v>100</v>
      </c>
      <c r="I586" s="19"/>
      <c r="J586" s="129"/>
      <c r="K586" s="41"/>
      <c r="L586" s="19"/>
      <c r="M586" s="122"/>
      <c r="N586" s="122"/>
      <c r="O586" s="24"/>
      <c r="P586" s="468"/>
      <c r="Q586" s="35"/>
      <c r="R586" s="19"/>
      <c r="S586" s="557"/>
      <c r="T586" s="2"/>
    </row>
    <row r="587" spans="1:20" s="1" customFormat="1" ht="45.75" customHeight="1" x14ac:dyDescent="0.35">
      <c r="A587" s="605"/>
      <c r="B587" s="541"/>
      <c r="C587" s="19" t="s">
        <v>34</v>
      </c>
      <c r="D587" s="41" t="s">
        <v>108</v>
      </c>
      <c r="E587" s="19" t="s">
        <v>18</v>
      </c>
      <c r="F587" s="19">
        <v>100</v>
      </c>
      <c r="G587" s="19">
        <v>100</v>
      </c>
      <c r="H587" s="24">
        <f>IF(G587/F587*100&gt;100,100,G587/F587*100)</f>
        <v>100</v>
      </c>
      <c r="I587" s="19"/>
      <c r="J587" s="129"/>
      <c r="K587" s="41"/>
      <c r="L587" s="19"/>
      <c r="M587" s="122"/>
      <c r="N587" s="122"/>
      <c r="O587" s="24"/>
      <c r="P587" s="468"/>
      <c r="Q587" s="35"/>
      <c r="R587" s="19"/>
      <c r="S587" s="557"/>
      <c r="T587" s="2"/>
    </row>
    <row r="588" spans="1:20" s="1" customFormat="1" ht="69.75" customHeight="1" x14ac:dyDescent="0.35">
      <c r="A588" s="605"/>
      <c r="B588" s="541"/>
      <c r="C588" s="19" t="s">
        <v>78</v>
      </c>
      <c r="D588" s="41" t="s">
        <v>17</v>
      </c>
      <c r="E588" s="19" t="s">
        <v>18</v>
      </c>
      <c r="F588" s="19">
        <v>90</v>
      </c>
      <c r="G588" s="19">
        <v>100</v>
      </c>
      <c r="H588" s="24">
        <f>IF(G588/F588*100&gt;100,100,G588/F588*100)</f>
        <v>100</v>
      </c>
      <c r="I588" s="19"/>
      <c r="J588" s="129"/>
      <c r="K588" s="41"/>
      <c r="L588" s="19"/>
      <c r="M588" s="122"/>
      <c r="N588" s="122"/>
      <c r="O588" s="24"/>
      <c r="P588" s="468"/>
      <c r="Q588" s="35"/>
      <c r="R588" s="19"/>
      <c r="S588" s="557"/>
      <c r="T588" s="2"/>
    </row>
    <row r="589" spans="1:20" s="1" customFormat="1" ht="116.25" customHeight="1" x14ac:dyDescent="0.35">
      <c r="A589" s="605"/>
      <c r="B589" s="541"/>
      <c r="C589" s="19" t="s">
        <v>79</v>
      </c>
      <c r="D589" s="41" t="s">
        <v>111</v>
      </c>
      <c r="E589" s="19" t="s">
        <v>18</v>
      </c>
      <c r="F589" s="19">
        <v>100</v>
      </c>
      <c r="G589" s="19">
        <v>100</v>
      </c>
      <c r="H589" s="24">
        <f>IF(G589/F589*100&gt;100,100,G589/F589*100)</f>
        <v>100</v>
      </c>
      <c r="I589" s="19"/>
      <c r="J589" s="129"/>
      <c r="K589" s="41"/>
      <c r="L589" s="19"/>
      <c r="M589" s="122"/>
      <c r="N589" s="122"/>
      <c r="O589" s="24"/>
      <c r="P589" s="468"/>
      <c r="Q589" s="35"/>
      <c r="R589" s="19"/>
      <c r="S589" s="557"/>
      <c r="T589" s="2"/>
    </row>
    <row r="590" spans="1:20" s="1" customFormat="1" ht="45.75" customHeight="1" x14ac:dyDescent="0.35">
      <c r="A590" s="605"/>
      <c r="B590" s="541"/>
      <c r="C590" s="465"/>
      <c r="D590" s="466" t="s">
        <v>644</v>
      </c>
      <c r="E590" s="465"/>
      <c r="F590" s="20"/>
      <c r="G590" s="20"/>
      <c r="H590" s="18"/>
      <c r="I590" s="18">
        <f>(H585+H586+H587+H588+H589)/5</f>
        <v>100</v>
      </c>
      <c r="J590" s="128"/>
      <c r="K590" s="466" t="s">
        <v>644</v>
      </c>
      <c r="L590" s="20"/>
      <c r="M590" s="124"/>
      <c r="N590" s="124"/>
      <c r="O590" s="18"/>
      <c r="P590" s="18">
        <f>O585</f>
        <v>103.57142857142858</v>
      </c>
      <c r="Q590" s="18">
        <f>(I590+P590)/2</f>
        <v>101.78571428571429</v>
      </c>
      <c r="R590" s="465" t="s">
        <v>25</v>
      </c>
      <c r="S590" s="557"/>
      <c r="T590" s="2"/>
    </row>
    <row r="591" spans="1:20" s="1" customFormat="1" ht="75.75" customHeight="1" x14ac:dyDescent="0.35">
      <c r="A591" s="605"/>
      <c r="B591" s="541"/>
      <c r="C591" s="454" t="s">
        <v>36</v>
      </c>
      <c r="D591" s="59" t="s">
        <v>116</v>
      </c>
      <c r="E591" s="19"/>
      <c r="F591" s="19"/>
      <c r="G591" s="19"/>
      <c r="H591" s="35"/>
      <c r="I591" s="35"/>
      <c r="J591" s="454" t="s">
        <v>36</v>
      </c>
      <c r="K591" s="59" t="str">
        <f>D591</f>
        <v>Реализация основных общеобразовательных программ среднего общего образования</v>
      </c>
      <c r="L591" s="19"/>
      <c r="M591" s="122"/>
      <c r="N591" s="122"/>
      <c r="O591" s="35"/>
      <c r="P591" s="468"/>
      <c r="Q591" s="35"/>
      <c r="R591" s="19"/>
      <c r="S591" s="557"/>
      <c r="T591" s="2"/>
    </row>
    <row r="592" spans="1:20" s="1" customFormat="1" ht="71.25" customHeight="1" x14ac:dyDescent="0.35">
      <c r="A592" s="605"/>
      <c r="B592" s="541"/>
      <c r="C592" s="19" t="s">
        <v>38</v>
      </c>
      <c r="D592" s="41" t="s">
        <v>117</v>
      </c>
      <c r="E592" s="19" t="s">
        <v>18</v>
      </c>
      <c r="F592" s="19">
        <v>100</v>
      </c>
      <c r="G592" s="19">
        <v>100</v>
      </c>
      <c r="H592" s="24">
        <f>IF(G592/F592*100&gt;100,100,G592/F592*100)</f>
        <v>100</v>
      </c>
      <c r="I592" s="19"/>
      <c r="J592" s="129" t="s">
        <v>38</v>
      </c>
      <c r="K592" s="41" t="s">
        <v>106</v>
      </c>
      <c r="L592" s="19" t="s">
        <v>20</v>
      </c>
      <c r="M592" s="19">
        <v>93</v>
      </c>
      <c r="N592" s="19">
        <v>92</v>
      </c>
      <c r="O592" s="24">
        <f>IF(N592/M592*100&gt;110,110,N592/M592*100)</f>
        <v>98.924731182795696</v>
      </c>
      <c r="P592" s="19"/>
      <c r="Q592" s="35"/>
      <c r="R592" s="19"/>
      <c r="S592" s="557"/>
      <c r="T592" s="2"/>
    </row>
    <row r="593" spans="1:20" s="1" customFormat="1" ht="38.25" customHeight="1" x14ac:dyDescent="0.35">
      <c r="A593" s="605"/>
      <c r="B593" s="541"/>
      <c r="C593" s="19" t="s">
        <v>118</v>
      </c>
      <c r="D593" s="41" t="s">
        <v>119</v>
      </c>
      <c r="E593" s="19" t="s">
        <v>18</v>
      </c>
      <c r="F593" s="19">
        <v>100</v>
      </c>
      <c r="G593" s="19">
        <v>100</v>
      </c>
      <c r="H593" s="24">
        <f>IF(G593/F593*100&gt;100,100,G593/F593*100)</f>
        <v>100</v>
      </c>
      <c r="I593" s="19"/>
      <c r="J593" s="129"/>
      <c r="K593" s="41"/>
      <c r="L593" s="19"/>
      <c r="M593" s="122"/>
      <c r="N593" s="122"/>
      <c r="O593" s="24"/>
      <c r="P593" s="468"/>
      <c r="Q593" s="35"/>
      <c r="R593" s="19"/>
      <c r="S593" s="557"/>
      <c r="T593" s="2"/>
    </row>
    <row r="594" spans="1:20" s="1" customFormat="1" ht="47.25" customHeight="1" x14ac:dyDescent="0.35">
      <c r="A594" s="605"/>
      <c r="B594" s="541"/>
      <c r="C594" s="19" t="s">
        <v>120</v>
      </c>
      <c r="D594" s="41" t="s">
        <v>108</v>
      </c>
      <c r="E594" s="19" t="s">
        <v>18</v>
      </c>
      <c r="F594" s="19">
        <v>100</v>
      </c>
      <c r="G594" s="19">
        <v>100</v>
      </c>
      <c r="H594" s="24">
        <f>IF(G594/F594*100&gt;100,100,G594/F594*100)</f>
        <v>100</v>
      </c>
      <c r="I594" s="19"/>
      <c r="J594" s="129"/>
      <c r="K594" s="41"/>
      <c r="L594" s="19"/>
      <c r="M594" s="122"/>
      <c r="N594" s="122"/>
      <c r="O594" s="24"/>
      <c r="P594" s="468"/>
      <c r="Q594" s="35"/>
      <c r="R594" s="19"/>
      <c r="S594" s="557"/>
      <c r="T594" s="2"/>
    </row>
    <row r="595" spans="1:20" s="1" customFormat="1" ht="119.25" customHeight="1" x14ac:dyDescent="0.35">
      <c r="A595" s="605"/>
      <c r="B595" s="541"/>
      <c r="C595" s="19" t="s">
        <v>121</v>
      </c>
      <c r="D595" s="41" t="s">
        <v>17</v>
      </c>
      <c r="E595" s="19" t="s">
        <v>18</v>
      </c>
      <c r="F595" s="19">
        <v>90</v>
      </c>
      <c r="G595" s="19">
        <v>100</v>
      </c>
      <c r="H595" s="24">
        <f>IF(G595/F595*100&gt;100,100,G595/F595*100)</f>
        <v>100</v>
      </c>
      <c r="I595" s="19"/>
      <c r="J595" s="129"/>
      <c r="K595" s="41"/>
      <c r="L595" s="19"/>
      <c r="M595" s="122"/>
      <c r="N595" s="122"/>
      <c r="O595" s="24"/>
      <c r="P595" s="468"/>
      <c r="Q595" s="35"/>
      <c r="R595" s="19"/>
      <c r="S595" s="557"/>
      <c r="T595" s="2"/>
    </row>
    <row r="596" spans="1:20" s="1" customFormat="1" ht="119.25" customHeight="1" x14ac:dyDescent="0.35">
      <c r="A596" s="605"/>
      <c r="B596" s="541"/>
      <c r="C596" s="19" t="s">
        <v>122</v>
      </c>
      <c r="D596" s="41" t="s">
        <v>111</v>
      </c>
      <c r="E596" s="19" t="s">
        <v>18</v>
      </c>
      <c r="F596" s="19">
        <v>100</v>
      </c>
      <c r="G596" s="19">
        <v>100</v>
      </c>
      <c r="H596" s="24">
        <f>IF(G596/F596*100&gt;100,100,G596/F596*100)</f>
        <v>100</v>
      </c>
      <c r="I596" s="19"/>
      <c r="J596" s="129"/>
      <c r="K596" s="41"/>
      <c r="L596" s="19"/>
      <c r="M596" s="122"/>
      <c r="N596" s="122"/>
      <c r="O596" s="24"/>
      <c r="P596" s="468"/>
      <c r="Q596" s="35"/>
      <c r="R596" s="19"/>
      <c r="S596" s="557"/>
      <c r="T596" s="2"/>
    </row>
    <row r="597" spans="1:20" s="1" customFormat="1" ht="53.25" customHeight="1" x14ac:dyDescent="0.35">
      <c r="A597" s="605"/>
      <c r="B597" s="541"/>
      <c r="C597" s="465"/>
      <c r="D597" s="466" t="s">
        <v>644</v>
      </c>
      <c r="E597" s="465"/>
      <c r="F597" s="20"/>
      <c r="G597" s="20"/>
      <c r="H597" s="18"/>
      <c r="I597" s="18">
        <f>(H592+H593+H594+H595+H596)/5</f>
        <v>100</v>
      </c>
      <c r="J597" s="128"/>
      <c r="K597" s="466" t="s">
        <v>644</v>
      </c>
      <c r="L597" s="20"/>
      <c r="M597" s="124"/>
      <c r="N597" s="124"/>
      <c r="O597" s="18"/>
      <c r="P597" s="18">
        <f>O592</f>
        <v>98.924731182795696</v>
      </c>
      <c r="Q597" s="18">
        <f>(I597+P597)/2</f>
        <v>99.462365591397855</v>
      </c>
      <c r="R597" s="465" t="s">
        <v>112</v>
      </c>
      <c r="S597" s="557"/>
      <c r="T597" s="2"/>
    </row>
    <row r="598" spans="1:20" s="1" customFormat="1" ht="35.25" customHeight="1" x14ac:dyDescent="0.35">
      <c r="A598" s="605"/>
      <c r="B598" s="541"/>
      <c r="C598" s="454" t="s">
        <v>123</v>
      </c>
      <c r="D598" s="59" t="s">
        <v>27</v>
      </c>
      <c r="E598" s="19"/>
      <c r="F598" s="19"/>
      <c r="G598" s="19"/>
      <c r="H598" s="35"/>
      <c r="I598" s="35"/>
      <c r="J598" s="454" t="s">
        <v>123</v>
      </c>
      <c r="K598" s="59" t="s">
        <v>27</v>
      </c>
      <c r="L598" s="19"/>
      <c r="M598" s="122"/>
      <c r="N598" s="122"/>
      <c r="O598" s="35"/>
      <c r="P598" s="468"/>
      <c r="Q598" s="35"/>
      <c r="R598" s="19"/>
      <c r="S598" s="557"/>
      <c r="T598" s="2"/>
    </row>
    <row r="599" spans="1:20" s="1" customFormat="1" ht="51" customHeight="1" x14ac:dyDescent="0.35">
      <c r="A599" s="605"/>
      <c r="B599" s="541"/>
      <c r="C599" s="19" t="s">
        <v>124</v>
      </c>
      <c r="D599" s="41" t="s">
        <v>125</v>
      </c>
      <c r="E599" s="19" t="s">
        <v>18</v>
      </c>
      <c r="F599" s="19">
        <v>100</v>
      </c>
      <c r="G599" s="19">
        <v>100</v>
      </c>
      <c r="H599" s="24">
        <f>IF(G599/F599*100&gt;100,100,G599/F599*100)</f>
        <v>100</v>
      </c>
      <c r="I599" s="19"/>
      <c r="J599" s="129" t="s">
        <v>124</v>
      </c>
      <c r="K599" s="41" t="s">
        <v>106</v>
      </c>
      <c r="L599" s="19" t="s">
        <v>20</v>
      </c>
      <c r="M599" s="19">
        <v>229</v>
      </c>
      <c r="N599" s="19">
        <v>224</v>
      </c>
      <c r="O599" s="24">
        <f>IF(N599/M599*100&gt;110,110,N599/M599*100)</f>
        <v>97.816593886462883</v>
      </c>
      <c r="P599" s="468"/>
      <c r="Q599" s="35"/>
      <c r="R599" s="19"/>
      <c r="S599" s="557"/>
      <c r="T599" s="2"/>
    </row>
    <row r="600" spans="1:20" s="1" customFormat="1" ht="93" customHeight="1" x14ac:dyDescent="0.35">
      <c r="A600" s="605"/>
      <c r="B600" s="541"/>
      <c r="C600" s="19" t="s">
        <v>127</v>
      </c>
      <c r="D600" s="41" t="s">
        <v>128</v>
      </c>
      <c r="E600" s="19" t="s">
        <v>18</v>
      </c>
      <c r="F600" s="19">
        <v>90</v>
      </c>
      <c r="G600" s="19">
        <v>90</v>
      </c>
      <c r="H600" s="24">
        <f>IF(G600/F600*100&gt;100,100,G600/F600*100)</f>
        <v>100</v>
      </c>
      <c r="I600" s="19"/>
      <c r="J600" s="129"/>
      <c r="K600" s="41"/>
      <c r="L600" s="19"/>
      <c r="M600" s="122"/>
      <c r="N600" s="122"/>
      <c r="O600" s="24"/>
      <c r="P600" s="468"/>
      <c r="Q600" s="35"/>
      <c r="R600" s="19"/>
      <c r="S600" s="557"/>
      <c r="T600" s="2"/>
    </row>
    <row r="601" spans="1:20" s="1" customFormat="1" ht="48.75" customHeight="1" x14ac:dyDescent="0.35">
      <c r="A601" s="605"/>
      <c r="B601" s="541"/>
      <c r="C601" s="465"/>
      <c r="D601" s="466" t="s">
        <v>644</v>
      </c>
      <c r="E601" s="465"/>
      <c r="F601" s="20"/>
      <c r="G601" s="20"/>
      <c r="H601" s="18"/>
      <c r="I601" s="18">
        <f>(H599+H600)/2</f>
        <v>100</v>
      </c>
      <c r="J601" s="128"/>
      <c r="K601" s="466" t="s">
        <v>644</v>
      </c>
      <c r="L601" s="20"/>
      <c r="M601" s="124"/>
      <c r="N601" s="124"/>
      <c r="O601" s="18"/>
      <c r="P601" s="18">
        <f>O599</f>
        <v>97.816593886462883</v>
      </c>
      <c r="Q601" s="18">
        <f>(I601+P601)/2</f>
        <v>98.908296943231448</v>
      </c>
      <c r="R601" s="465" t="s">
        <v>112</v>
      </c>
      <c r="S601" s="557"/>
      <c r="T601" s="2"/>
    </row>
    <row r="602" spans="1:20" s="1" customFormat="1" ht="239.25" customHeight="1" x14ac:dyDescent="0.35">
      <c r="A602" s="605"/>
      <c r="B602" s="541"/>
      <c r="C602" s="454" t="s">
        <v>129</v>
      </c>
      <c r="D602" s="59" t="s">
        <v>275</v>
      </c>
      <c r="E602" s="454"/>
      <c r="F602" s="454"/>
      <c r="G602" s="454"/>
      <c r="H602" s="35"/>
      <c r="I602" s="35"/>
      <c r="J602" s="454" t="s">
        <v>129</v>
      </c>
      <c r="K602" s="59" t="s">
        <v>276</v>
      </c>
      <c r="L602" s="19"/>
      <c r="M602" s="19"/>
      <c r="N602" s="19"/>
      <c r="O602" s="35"/>
      <c r="P602" s="468"/>
      <c r="Q602" s="35"/>
      <c r="R602" s="19"/>
      <c r="S602" s="557"/>
      <c r="T602" s="2"/>
    </row>
    <row r="603" spans="1:20" s="1" customFormat="1" ht="72" customHeight="1" x14ac:dyDescent="0.35">
      <c r="A603" s="605"/>
      <c r="B603" s="541"/>
      <c r="C603" s="19" t="s">
        <v>131</v>
      </c>
      <c r="D603" s="41" t="s">
        <v>17</v>
      </c>
      <c r="E603" s="19" t="s">
        <v>18</v>
      </c>
      <c r="F603" s="19">
        <v>90</v>
      </c>
      <c r="G603" s="19">
        <v>90</v>
      </c>
      <c r="H603" s="24">
        <f>IF(G603/F603*100&gt;100,100,G603/F603*100)</f>
        <v>100</v>
      </c>
      <c r="I603" s="19"/>
      <c r="J603" s="19" t="s">
        <v>131</v>
      </c>
      <c r="K603" s="41" t="s">
        <v>273</v>
      </c>
      <c r="L603" s="19" t="s">
        <v>41</v>
      </c>
      <c r="M603" s="19">
        <v>9</v>
      </c>
      <c r="N603" s="19">
        <v>9</v>
      </c>
      <c r="O603" s="24">
        <f>IF(N603/M603*100&gt;110,110,N603/M603*100)</f>
        <v>100</v>
      </c>
      <c r="P603" s="468"/>
      <c r="Q603" s="35"/>
      <c r="R603" s="19"/>
      <c r="S603" s="557"/>
      <c r="T603" s="2"/>
    </row>
    <row r="604" spans="1:20" s="1" customFormat="1" ht="63" customHeight="1" x14ac:dyDescent="0.35">
      <c r="A604" s="605"/>
      <c r="B604" s="541"/>
      <c r="C604" s="465"/>
      <c r="D604" s="466" t="s">
        <v>644</v>
      </c>
      <c r="E604" s="465"/>
      <c r="F604" s="20"/>
      <c r="G604" s="20"/>
      <c r="H604" s="18"/>
      <c r="I604" s="18">
        <f>H603</f>
        <v>100</v>
      </c>
      <c r="J604" s="128"/>
      <c r="K604" s="466" t="s">
        <v>644</v>
      </c>
      <c r="L604" s="20"/>
      <c r="M604" s="124"/>
      <c r="N604" s="124"/>
      <c r="O604" s="18"/>
      <c r="P604" s="18">
        <f>O603</f>
        <v>100</v>
      </c>
      <c r="Q604" s="18">
        <f>(I604+P604)/2</f>
        <v>100</v>
      </c>
      <c r="R604" s="465" t="s">
        <v>25</v>
      </c>
      <c r="S604" s="557"/>
      <c r="T604" s="2"/>
    </row>
    <row r="605" spans="1:20" s="1" customFormat="1" ht="203.25" customHeight="1" x14ac:dyDescent="0.35">
      <c r="A605" s="605"/>
      <c r="B605" s="541"/>
      <c r="C605" s="454" t="s">
        <v>140</v>
      </c>
      <c r="D605" s="59" t="s">
        <v>274</v>
      </c>
      <c r="E605" s="454"/>
      <c r="F605" s="454"/>
      <c r="G605" s="454"/>
      <c r="H605" s="35"/>
      <c r="I605" s="35"/>
      <c r="J605" s="454" t="s">
        <v>140</v>
      </c>
      <c r="K605" s="59" t="s">
        <v>274</v>
      </c>
      <c r="L605" s="19"/>
      <c r="M605" s="19"/>
      <c r="N605" s="19"/>
      <c r="O605" s="35"/>
      <c r="P605" s="468"/>
      <c r="Q605" s="35"/>
      <c r="R605" s="19"/>
      <c r="S605" s="557"/>
      <c r="T605" s="2"/>
    </row>
    <row r="606" spans="1:20" s="1" customFormat="1" ht="91.5" customHeight="1" x14ac:dyDescent="0.35">
      <c r="A606" s="605"/>
      <c r="B606" s="541"/>
      <c r="C606" s="19" t="s">
        <v>142</v>
      </c>
      <c r="D606" s="41" t="s">
        <v>17</v>
      </c>
      <c r="E606" s="19" t="s">
        <v>18</v>
      </c>
      <c r="F606" s="19">
        <v>90</v>
      </c>
      <c r="G606" s="19">
        <v>90</v>
      </c>
      <c r="H606" s="24">
        <f>IF(G606/F606*100&gt;100,100,G606/F606*100)</f>
        <v>100</v>
      </c>
      <c r="I606" s="19"/>
      <c r="J606" s="19" t="s">
        <v>142</v>
      </c>
      <c r="K606" s="41" t="s">
        <v>273</v>
      </c>
      <c r="L606" s="19" t="s">
        <v>41</v>
      </c>
      <c r="M606" s="19">
        <v>15</v>
      </c>
      <c r="N606" s="19">
        <v>15</v>
      </c>
      <c r="O606" s="24">
        <f>IF(N606/M606*100&gt;110,110,N606/M606*100)</f>
        <v>100</v>
      </c>
      <c r="P606" s="468"/>
      <c r="Q606" s="35"/>
      <c r="R606" s="19"/>
      <c r="S606" s="557"/>
      <c r="T606" s="2"/>
    </row>
    <row r="607" spans="1:20" s="1" customFormat="1" ht="63" customHeight="1" x14ac:dyDescent="0.35">
      <c r="A607" s="605"/>
      <c r="B607" s="541"/>
      <c r="C607" s="465"/>
      <c r="D607" s="466" t="s">
        <v>644</v>
      </c>
      <c r="E607" s="465"/>
      <c r="F607" s="20"/>
      <c r="G607" s="20"/>
      <c r="H607" s="18"/>
      <c r="I607" s="18">
        <f>H606</f>
        <v>100</v>
      </c>
      <c r="J607" s="128"/>
      <c r="K607" s="466" t="s">
        <v>644</v>
      </c>
      <c r="L607" s="20"/>
      <c r="M607" s="124"/>
      <c r="N607" s="124"/>
      <c r="O607" s="18"/>
      <c r="P607" s="18">
        <f>O606</f>
        <v>100</v>
      </c>
      <c r="Q607" s="18">
        <f>(I607+P607)/2</f>
        <v>100</v>
      </c>
      <c r="R607" s="465" t="s">
        <v>25</v>
      </c>
      <c r="S607" s="557"/>
      <c r="T607" s="2"/>
    </row>
    <row r="608" spans="1:20" s="1" customFormat="1" ht="46.5" customHeight="1" x14ac:dyDescent="0.35">
      <c r="A608" s="605"/>
      <c r="B608" s="541"/>
      <c r="C608" s="454" t="s">
        <v>144</v>
      </c>
      <c r="D608" s="59" t="s">
        <v>130</v>
      </c>
      <c r="E608" s="19"/>
      <c r="F608" s="19"/>
      <c r="G608" s="19"/>
      <c r="H608" s="35"/>
      <c r="I608" s="35"/>
      <c r="J608" s="454" t="s">
        <v>144</v>
      </c>
      <c r="K608" s="59" t="str">
        <f>D608</f>
        <v>Реализация дополнительных общеразвивающих программ</v>
      </c>
      <c r="L608" s="19"/>
      <c r="M608" s="122"/>
      <c r="N608" s="122"/>
      <c r="O608" s="35"/>
      <c r="P608" s="468"/>
      <c r="Q608" s="35"/>
      <c r="R608" s="19"/>
      <c r="S608" s="557"/>
      <c r="T608" s="2"/>
    </row>
    <row r="609" spans="1:20" s="1" customFormat="1" ht="87.75" customHeight="1" x14ac:dyDescent="0.35">
      <c r="A609" s="605"/>
      <c r="B609" s="541"/>
      <c r="C609" s="19" t="s">
        <v>146</v>
      </c>
      <c r="D609" s="41" t="s">
        <v>128</v>
      </c>
      <c r="E609" s="19" t="s">
        <v>18</v>
      </c>
      <c r="F609" s="19">
        <v>90</v>
      </c>
      <c r="G609" s="19">
        <v>90</v>
      </c>
      <c r="H609" s="24">
        <f>IF(G609/F609*100&gt;100,100,G609/F609*100)</f>
        <v>100</v>
      </c>
      <c r="I609" s="19"/>
      <c r="J609" s="129" t="s">
        <v>146</v>
      </c>
      <c r="K609" s="41" t="s">
        <v>136</v>
      </c>
      <c r="L609" s="19" t="s">
        <v>137</v>
      </c>
      <c r="M609" s="19">
        <v>49979</v>
      </c>
      <c r="N609" s="19">
        <v>49979</v>
      </c>
      <c r="O609" s="24">
        <f>IF(N609/M609*100&gt;110,110,N609/M609*100)</f>
        <v>100</v>
      </c>
      <c r="P609" s="468"/>
      <c r="Q609" s="35"/>
      <c r="R609" s="19"/>
      <c r="S609" s="557"/>
      <c r="T609" s="2"/>
    </row>
    <row r="610" spans="1:20" s="1" customFormat="1" ht="43.5" customHeight="1" x14ac:dyDescent="0.35">
      <c r="A610" s="605"/>
      <c r="B610" s="541"/>
      <c r="C610" s="465"/>
      <c r="D610" s="466" t="s">
        <v>644</v>
      </c>
      <c r="E610" s="465"/>
      <c r="F610" s="20"/>
      <c r="G610" s="20"/>
      <c r="H610" s="18"/>
      <c r="I610" s="18">
        <f>H609</f>
        <v>100</v>
      </c>
      <c r="J610" s="128"/>
      <c r="K610" s="466" t="s">
        <v>644</v>
      </c>
      <c r="L610" s="20"/>
      <c r="M610" s="124"/>
      <c r="N610" s="124"/>
      <c r="O610" s="18"/>
      <c r="P610" s="18">
        <f>O609</f>
        <v>100</v>
      </c>
      <c r="Q610" s="18">
        <f>(I610+P610)/2</f>
        <v>100</v>
      </c>
      <c r="R610" s="465" t="s">
        <v>25</v>
      </c>
      <c r="S610" s="557"/>
      <c r="T610" s="2"/>
    </row>
    <row r="611" spans="1:20" s="1" customFormat="1" ht="77.25" customHeight="1" x14ac:dyDescent="0.35">
      <c r="A611" s="605">
        <v>40</v>
      </c>
      <c r="B611" s="541" t="s">
        <v>138</v>
      </c>
      <c r="C611" s="454" t="s">
        <v>13</v>
      </c>
      <c r="D611" s="59" t="s">
        <v>103</v>
      </c>
      <c r="E611" s="454"/>
      <c r="F611" s="454"/>
      <c r="G611" s="454"/>
      <c r="H611" s="35"/>
      <c r="I611" s="35"/>
      <c r="J611" s="454" t="s">
        <v>13</v>
      </c>
      <c r="K611" s="59" t="s">
        <v>103</v>
      </c>
      <c r="L611" s="19"/>
      <c r="M611" s="19"/>
      <c r="N611" s="19"/>
      <c r="O611" s="35"/>
      <c r="P611" s="468"/>
      <c r="Q611" s="483"/>
      <c r="R611" s="19"/>
      <c r="S611" s="557" t="s">
        <v>104</v>
      </c>
      <c r="T611" s="2"/>
    </row>
    <row r="612" spans="1:20" s="1" customFormat="1" ht="58.5" customHeight="1" x14ac:dyDescent="0.35">
      <c r="A612" s="605"/>
      <c r="B612" s="541"/>
      <c r="C612" s="19" t="s">
        <v>16</v>
      </c>
      <c r="D612" s="41" t="s">
        <v>105</v>
      </c>
      <c r="E612" s="19" t="s">
        <v>18</v>
      </c>
      <c r="F612" s="19">
        <v>100</v>
      </c>
      <c r="G612" s="19">
        <v>100</v>
      </c>
      <c r="H612" s="24">
        <f>IF(G612/F612*100&gt;100,100,G612/F612*100)</f>
        <v>100</v>
      </c>
      <c r="I612" s="19"/>
      <c r="J612" s="19" t="s">
        <v>16</v>
      </c>
      <c r="K612" s="41" t="s">
        <v>106</v>
      </c>
      <c r="L612" s="19" t="s">
        <v>20</v>
      </c>
      <c r="M612" s="19">
        <v>408</v>
      </c>
      <c r="N612" s="19">
        <v>406</v>
      </c>
      <c r="O612" s="24">
        <f>IF(N612/M612*100&gt;110,110,N612/M612*100)</f>
        <v>99.509803921568633</v>
      </c>
      <c r="P612" s="468"/>
      <c r="Q612" s="35"/>
      <c r="R612" s="19"/>
      <c r="S612" s="557"/>
      <c r="T612" s="2"/>
    </row>
    <row r="613" spans="1:20" s="1" customFormat="1" ht="47.25" customHeight="1" x14ac:dyDescent="0.35">
      <c r="A613" s="605"/>
      <c r="B613" s="541"/>
      <c r="C613" s="19" t="s">
        <v>21</v>
      </c>
      <c r="D613" s="41" t="s">
        <v>135</v>
      </c>
      <c r="E613" s="19" t="s">
        <v>18</v>
      </c>
      <c r="F613" s="19">
        <v>100</v>
      </c>
      <c r="G613" s="19">
        <v>100</v>
      </c>
      <c r="H613" s="24">
        <f>IF(G613/F613*100&gt;100,100,G613/F613*100)</f>
        <v>100</v>
      </c>
      <c r="I613" s="19"/>
      <c r="J613" s="19"/>
      <c r="K613" s="455"/>
      <c r="L613" s="19"/>
      <c r="M613" s="476"/>
      <c r="N613" s="476"/>
      <c r="O613" s="24"/>
      <c r="P613" s="468"/>
      <c r="Q613" s="35"/>
      <c r="R613" s="19"/>
      <c r="S613" s="557"/>
      <c r="T613" s="2"/>
    </row>
    <row r="614" spans="1:20" s="1" customFormat="1" ht="53.25" customHeight="1" x14ac:dyDescent="0.35">
      <c r="A614" s="605"/>
      <c r="B614" s="541"/>
      <c r="C614" s="19" t="s">
        <v>23</v>
      </c>
      <c r="D614" s="41" t="s">
        <v>108</v>
      </c>
      <c r="E614" s="19" t="s">
        <v>18</v>
      </c>
      <c r="F614" s="19">
        <v>100</v>
      </c>
      <c r="G614" s="19">
        <v>100</v>
      </c>
      <c r="H614" s="24">
        <f>IF(G614/F614*100&gt;100,100,G614/F614*100)</f>
        <v>100</v>
      </c>
      <c r="I614" s="19"/>
      <c r="J614" s="129"/>
      <c r="K614" s="41"/>
      <c r="L614" s="19"/>
      <c r="M614" s="122"/>
      <c r="N614" s="122"/>
      <c r="O614" s="24"/>
      <c r="P614" s="468"/>
      <c r="Q614" s="35"/>
      <c r="R614" s="19"/>
      <c r="S614" s="557"/>
      <c r="T614" s="2"/>
    </row>
    <row r="615" spans="1:20" s="1" customFormat="1" ht="66" customHeight="1" x14ac:dyDescent="0.35">
      <c r="A615" s="605"/>
      <c r="B615" s="541"/>
      <c r="C615" s="19" t="s">
        <v>109</v>
      </c>
      <c r="D615" s="41" t="s">
        <v>17</v>
      </c>
      <c r="E615" s="19" t="s">
        <v>18</v>
      </c>
      <c r="F615" s="19">
        <v>90</v>
      </c>
      <c r="G615" s="19">
        <v>100</v>
      </c>
      <c r="H615" s="24">
        <f>IF(G615/F615*100&gt;100,100,G615/F615*100)</f>
        <v>100</v>
      </c>
      <c r="I615" s="19"/>
      <c r="J615" s="129"/>
      <c r="K615" s="41"/>
      <c r="L615" s="19"/>
      <c r="M615" s="122"/>
      <c r="N615" s="122"/>
      <c r="O615" s="24"/>
      <c r="P615" s="468"/>
      <c r="Q615" s="35"/>
      <c r="R615" s="19"/>
      <c r="S615" s="557"/>
      <c r="T615" s="2"/>
    </row>
    <row r="616" spans="1:20" s="1" customFormat="1" ht="117.75" customHeight="1" x14ac:dyDescent="0.35">
      <c r="A616" s="605"/>
      <c r="B616" s="541"/>
      <c r="C616" s="19" t="s">
        <v>110</v>
      </c>
      <c r="D616" s="41" t="s">
        <v>111</v>
      </c>
      <c r="E616" s="19" t="s">
        <v>18</v>
      </c>
      <c r="F616" s="19">
        <v>100</v>
      </c>
      <c r="G616" s="19">
        <v>100</v>
      </c>
      <c r="H616" s="24">
        <f>IF(G616/F616*100&gt;100,100,G616/F616*100)</f>
        <v>100</v>
      </c>
      <c r="I616" s="19"/>
      <c r="J616" s="129"/>
      <c r="K616" s="41"/>
      <c r="L616" s="19"/>
      <c r="M616" s="122"/>
      <c r="N616" s="122"/>
      <c r="O616" s="24"/>
      <c r="P616" s="468"/>
      <c r="Q616" s="35"/>
      <c r="R616" s="19"/>
      <c r="S616" s="557"/>
      <c r="T616" s="2"/>
    </row>
    <row r="617" spans="1:20" s="1" customFormat="1" ht="50.25" customHeight="1" x14ac:dyDescent="0.35">
      <c r="A617" s="605"/>
      <c r="B617" s="541"/>
      <c r="C617" s="465"/>
      <c r="D617" s="466" t="s">
        <v>644</v>
      </c>
      <c r="E617" s="465"/>
      <c r="F617" s="20"/>
      <c r="G617" s="20"/>
      <c r="H617" s="18"/>
      <c r="I617" s="18">
        <f>(H612+H613+H614+H615+H616)/5</f>
        <v>100</v>
      </c>
      <c r="J617" s="128"/>
      <c r="K617" s="466" t="s">
        <v>644</v>
      </c>
      <c r="L617" s="20"/>
      <c r="M617" s="124"/>
      <c r="N617" s="124"/>
      <c r="O617" s="18"/>
      <c r="P617" s="18">
        <f>O612</f>
        <v>99.509803921568633</v>
      </c>
      <c r="Q617" s="18">
        <f>(I617+P617)/2</f>
        <v>99.754901960784309</v>
      </c>
      <c r="R617" s="465" t="s">
        <v>112</v>
      </c>
      <c r="S617" s="557"/>
      <c r="T617" s="2"/>
    </row>
    <row r="618" spans="1:20" s="1" customFormat="1" ht="72" customHeight="1" x14ac:dyDescent="0.35">
      <c r="A618" s="605"/>
      <c r="B618" s="541"/>
      <c r="C618" s="454" t="s">
        <v>26</v>
      </c>
      <c r="D618" s="59" t="s">
        <v>113</v>
      </c>
      <c r="E618" s="19"/>
      <c r="F618" s="19"/>
      <c r="G618" s="19"/>
      <c r="H618" s="35"/>
      <c r="I618" s="35"/>
      <c r="J618" s="454" t="s">
        <v>26</v>
      </c>
      <c r="K618" s="59" t="s">
        <v>113</v>
      </c>
      <c r="L618" s="19"/>
      <c r="M618" s="122"/>
      <c r="N618" s="122"/>
      <c r="O618" s="35"/>
      <c r="P618" s="468"/>
      <c r="Q618" s="35"/>
      <c r="R618" s="19"/>
      <c r="S618" s="557"/>
      <c r="T618" s="2"/>
    </row>
    <row r="619" spans="1:20" s="1" customFormat="1" ht="72" customHeight="1" x14ac:dyDescent="0.35">
      <c r="A619" s="605"/>
      <c r="B619" s="541"/>
      <c r="C619" s="19" t="s">
        <v>28</v>
      </c>
      <c r="D619" s="41" t="s">
        <v>114</v>
      </c>
      <c r="E619" s="19" t="s">
        <v>18</v>
      </c>
      <c r="F619" s="19">
        <v>100</v>
      </c>
      <c r="G619" s="19">
        <v>100</v>
      </c>
      <c r="H619" s="24">
        <f>IF(G619/F619*100&gt;100,100,G619/F619*100)</f>
        <v>100</v>
      </c>
      <c r="I619" s="19"/>
      <c r="J619" s="129" t="s">
        <v>28</v>
      </c>
      <c r="K619" s="41" t="s">
        <v>106</v>
      </c>
      <c r="L619" s="19" t="s">
        <v>20</v>
      </c>
      <c r="M619" s="19">
        <v>464</v>
      </c>
      <c r="N619" s="19">
        <v>458</v>
      </c>
      <c r="O619" s="24">
        <f>IF(N619/M619*100&gt;110,110,N619/M619*100)</f>
        <v>98.706896551724128</v>
      </c>
      <c r="P619" s="19"/>
      <c r="Q619" s="35"/>
      <c r="R619" s="19"/>
      <c r="S619" s="557"/>
      <c r="T619" s="2"/>
    </row>
    <row r="620" spans="1:20" s="1" customFormat="1" ht="33.75" customHeight="1" x14ac:dyDescent="0.35">
      <c r="A620" s="605"/>
      <c r="B620" s="541"/>
      <c r="C620" s="19" t="s">
        <v>30</v>
      </c>
      <c r="D620" s="41" t="s">
        <v>115</v>
      </c>
      <c r="E620" s="19" t="s">
        <v>18</v>
      </c>
      <c r="F620" s="19">
        <v>100</v>
      </c>
      <c r="G620" s="19">
        <v>100</v>
      </c>
      <c r="H620" s="24">
        <f>IF(G620/F620*100&gt;100,100,G620/F620*100)</f>
        <v>100</v>
      </c>
      <c r="I620" s="19"/>
      <c r="J620" s="129"/>
      <c r="K620" s="41"/>
      <c r="L620" s="19"/>
      <c r="M620" s="122"/>
      <c r="N620" s="122"/>
      <c r="O620" s="24"/>
      <c r="P620" s="468"/>
      <c r="Q620" s="35"/>
      <c r="R620" s="19"/>
      <c r="S620" s="557"/>
      <c r="T620" s="2"/>
    </row>
    <row r="621" spans="1:20" s="1" customFormat="1" ht="54.75" customHeight="1" x14ac:dyDescent="0.35">
      <c r="A621" s="605"/>
      <c r="B621" s="541"/>
      <c r="C621" s="19" t="s">
        <v>34</v>
      </c>
      <c r="D621" s="41" t="s">
        <v>108</v>
      </c>
      <c r="E621" s="19" t="s">
        <v>18</v>
      </c>
      <c r="F621" s="19">
        <v>100</v>
      </c>
      <c r="G621" s="19">
        <v>100</v>
      </c>
      <c r="H621" s="24">
        <f>IF(G621/F621*100&gt;100,100,G621/F621*100)</f>
        <v>100</v>
      </c>
      <c r="I621" s="19"/>
      <c r="J621" s="129"/>
      <c r="K621" s="41"/>
      <c r="L621" s="19"/>
      <c r="M621" s="122"/>
      <c r="N621" s="122"/>
      <c r="O621" s="24"/>
      <c r="P621" s="468"/>
      <c r="Q621" s="35"/>
      <c r="R621" s="19"/>
      <c r="S621" s="557"/>
      <c r="T621" s="2"/>
    </row>
    <row r="622" spans="1:20" s="1" customFormat="1" ht="64.5" customHeight="1" x14ac:dyDescent="0.35">
      <c r="A622" s="605"/>
      <c r="B622" s="541"/>
      <c r="C622" s="19" t="s">
        <v>78</v>
      </c>
      <c r="D622" s="41" t="s">
        <v>17</v>
      </c>
      <c r="E622" s="19" t="s">
        <v>18</v>
      </c>
      <c r="F622" s="19">
        <v>90</v>
      </c>
      <c r="G622" s="19">
        <v>100</v>
      </c>
      <c r="H622" s="24">
        <f>IF(G622/F622*100&gt;100,100,G622/F622*100)</f>
        <v>100</v>
      </c>
      <c r="I622" s="19"/>
      <c r="J622" s="129"/>
      <c r="K622" s="41"/>
      <c r="L622" s="19"/>
      <c r="M622" s="122"/>
      <c r="N622" s="122"/>
      <c r="O622" s="24"/>
      <c r="P622" s="468"/>
      <c r="Q622" s="35"/>
      <c r="R622" s="19"/>
      <c r="S622" s="557"/>
      <c r="T622" s="2"/>
    </row>
    <row r="623" spans="1:20" s="1" customFormat="1" ht="139.5" customHeight="1" x14ac:dyDescent="0.35">
      <c r="A623" s="605"/>
      <c r="B623" s="541"/>
      <c r="C623" s="19" t="s">
        <v>79</v>
      </c>
      <c r="D623" s="41" t="s">
        <v>111</v>
      </c>
      <c r="E623" s="19" t="s">
        <v>18</v>
      </c>
      <c r="F623" s="19">
        <v>100</v>
      </c>
      <c r="G623" s="19">
        <v>100</v>
      </c>
      <c r="H623" s="24">
        <f>IF(G623/F623*100&gt;100,100,G623/F623*100)</f>
        <v>100</v>
      </c>
      <c r="I623" s="19"/>
      <c r="J623" s="129"/>
      <c r="K623" s="41"/>
      <c r="L623" s="19"/>
      <c r="M623" s="122"/>
      <c r="N623" s="122"/>
      <c r="O623" s="24"/>
      <c r="P623" s="468"/>
      <c r="Q623" s="35"/>
      <c r="R623" s="19"/>
      <c r="S623" s="557"/>
      <c r="T623" s="2"/>
    </row>
    <row r="624" spans="1:20" s="1" customFormat="1" ht="58.5" customHeight="1" x14ac:dyDescent="0.35">
      <c r="A624" s="605"/>
      <c r="B624" s="541"/>
      <c r="C624" s="465"/>
      <c r="D624" s="466" t="s">
        <v>644</v>
      </c>
      <c r="E624" s="465"/>
      <c r="F624" s="20"/>
      <c r="G624" s="20"/>
      <c r="H624" s="18"/>
      <c r="I624" s="18">
        <f>(H619+H620+H621+H622+H623)/5</f>
        <v>100</v>
      </c>
      <c r="J624" s="128"/>
      <c r="K624" s="466" t="s">
        <v>644</v>
      </c>
      <c r="L624" s="20"/>
      <c r="M624" s="124"/>
      <c r="N624" s="124"/>
      <c r="O624" s="18"/>
      <c r="P624" s="18">
        <f>O619</f>
        <v>98.706896551724128</v>
      </c>
      <c r="Q624" s="18">
        <f>(I624+P624)/2</f>
        <v>99.353448275862064</v>
      </c>
      <c r="R624" s="465" t="s">
        <v>112</v>
      </c>
      <c r="S624" s="557"/>
      <c r="T624" s="2"/>
    </row>
    <row r="625" spans="1:20" s="1" customFormat="1" ht="84" customHeight="1" x14ac:dyDescent="0.35">
      <c r="A625" s="605"/>
      <c r="B625" s="541"/>
      <c r="C625" s="454" t="s">
        <v>36</v>
      </c>
      <c r="D625" s="59" t="s">
        <v>116</v>
      </c>
      <c r="E625" s="19"/>
      <c r="F625" s="19"/>
      <c r="G625" s="19"/>
      <c r="H625" s="35"/>
      <c r="I625" s="35"/>
      <c r="J625" s="454" t="s">
        <v>36</v>
      </c>
      <c r="K625" s="59" t="str">
        <f>D625</f>
        <v>Реализация основных общеобразовательных программ среднего общего образования</v>
      </c>
      <c r="L625" s="19"/>
      <c r="M625" s="122"/>
      <c r="N625" s="122"/>
      <c r="O625" s="35"/>
      <c r="P625" s="468"/>
      <c r="Q625" s="35"/>
      <c r="R625" s="19"/>
      <c r="S625" s="557"/>
      <c r="T625" s="2"/>
    </row>
    <row r="626" spans="1:20" s="1" customFormat="1" ht="65.25" customHeight="1" x14ac:dyDescent="0.35">
      <c r="A626" s="605"/>
      <c r="B626" s="541"/>
      <c r="C626" s="19" t="s">
        <v>38</v>
      </c>
      <c r="D626" s="41" t="s">
        <v>117</v>
      </c>
      <c r="E626" s="19" t="s">
        <v>18</v>
      </c>
      <c r="F626" s="19">
        <v>100</v>
      </c>
      <c r="G626" s="19">
        <v>100</v>
      </c>
      <c r="H626" s="24">
        <f>IF(G626/F626*100&gt;100,100,G626/F626*100)</f>
        <v>100</v>
      </c>
      <c r="I626" s="19"/>
      <c r="J626" s="129" t="s">
        <v>38</v>
      </c>
      <c r="K626" s="41" t="s">
        <v>106</v>
      </c>
      <c r="L626" s="19" t="s">
        <v>20</v>
      </c>
      <c r="M626" s="19">
        <v>86</v>
      </c>
      <c r="N626" s="19">
        <v>85</v>
      </c>
      <c r="O626" s="24">
        <f>IF(N626/M626*100&gt;110,110,N626/M626*100)</f>
        <v>98.837209302325576</v>
      </c>
      <c r="P626" s="19"/>
      <c r="Q626" s="35"/>
      <c r="R626" s="19"/>
      <c r="S626" s="557"/>
      <c r="T626" s="2"/>
    </row>
    <row r="627" spans="1:20" s="1" customFormat="1" ht="39.75" customHeight="1" x14ac:dyDescent="0.35">
      <c r="A627" s="605"/>
      <c r="B627" s="541"/>
      <c r="C627" s="19" t="s">
        <v>118</v>
      </c>
      <c r="D627" s="41" t="s">
        <v>119</v>
      </c>
      <c r="E627" s="19" t="s">
        <v>18</v>
      </c>
      <c r="F627" s="19">
        <v>100</v>
      </c>
      <c r="G627" s="19">
        <v>100</v>
      </c>
      <c r="H627" s="24">
        <f>IF(G627/F627*100&gt;100,100,G627/F627*100)</f>
        <v>100</v>
      </c>
      <c r="I627" s="19"/>
      <c r="J627" s="129"/>
      <c r="K627" s="41"/>
      <c r="L627" s="19"/>
      <c r="M627" s="122"/>
      <c r="N627" s="122"/>
      <c r="O627" s="24"/>
      <c r="P627" s="468"/>
      <c r="Q627" s="35"/>
      <c r="R627" s="19"/>
      <c r="S627" s="557"/>
      <c r="T627" s="2"/>
    </row>
    <row r="628" spans="1:20" s="1" customFormat="1" ht="46.5" customHeight="1" x14ac:dyDescent="0.35">
      <c r="A628" s="605"/>
      <c r="B628" s="541"/>
      <c r="C628" s="19" t="s">
        <v>120</v>
      </c>
      <c r="D628" s="41" t="s">
        <v>108</v>
      </c>
      <c r="E628" s="19" t="s">
        <v>18</v>
      </c>
      <c r="F628" s="19">
        <v>100</v>
      </c>
      <c r="G628" s="19">
        <v>100</v>
      </c>
      <c r="H628" s="24">
        <f>IF(G628/F628*100&gt;100,100,G628/F628*100)</f>
        <v>100</v>
      </c>
      <c r="I628" s="19"/>
      <c r="J628" s="129"/>
      <c r="K628" s="41"/>
      <c r="L628" s="19"/>
      <c r="M628" s="122"/>
      <c r="N628" s="122"/>
      <c r="O628" s="24"/>
      <c r="P628" s="468"/>
      <c r="Q628" s="35"/>
      <c r="R628" s="19"/>
      <c r="S628" s="557"/>
      <c r="T628" s="2"/>
    </row>
    <row r="629" spans="1:20" s="1" customFormat="1" ht="78" customHeight="1" x14ac:dyDescent="0.35">
      <c r="A629" s="605"/>
      <c r="B629" s="541"/>
      <c r="C629" s="19" t="s">
        <v>121</v>
      </c>
      <c r="D629" s="41" t="s">
        <v>17</v>
      </c>
      <c r="E629" s="19" t="s">
        <v>18</v>
      </c>
      <c r="F629" s="19">
        <v>90</v>
      </c>
      <c r="G629" s="19">
        <v>100</v>
      </c>
      <c r="H629" s="24">
        <f>IF(G629/F629*100&gt;100,100,G629/F629*100)</f>
        <v>100</v>
      </c>
      <c r="I629" s="19"/>
      <c r="J629" s="129"/>
      <c r="K629" s="41"/>
      <c r="L629" s="19"/>
      <c r="M629" s="122"/>
      <c r="N629" s="122"/>
      <c r="O629" s="24"/>
      <c r="P629" s="468"/>
      <c r="Q629" s="35"/>
      <c r="R629" s="19"/>
      <c r="S629" s="557"/>
      <c r="T629" s="2"/>
    </row>
    <row r="630" spans="1:20" s="1" customFormat="1" ht="133.5" customHeight="1" x14ac:dyDescent="0.35">
      <c r="A630" s="605"/>
      <c r="B630" s="541"/>
      <c r="C630" s="19" t="s">
        <v>122</v>
      </c>
      <c r="D630" s="41" t="s">
        <v>111</v>
      </c>
      <c r="E630" s="19" t="s">
        <v>18</v>
      </c>
      <c r="F630" s="19">
        <v>100</v>
      </c>
      <c r="G630" s="19">
        <v>100</v>
      </c>
      <c r="H630" s="24">
        <f>IF(G630/F630*100&gt;100,100,G630/F630*100)</f>
        <v>100</v>
      </c>
      <c r="I630" s="19"/>
      <c r="J630" s="129"/>
      <c r="K630" s="41"/>
      <c r="L630" s="19"/>
      <c r="M630" s="122"/>
      <c r="N630" s="122"/>
      <c r="O630" s="24"/>
      <c r="P630" s="468"/>
      <c r="Q630" s="35"/>
      <c r="R630" s="19"/>
      <c r="S630" s="557"/>
      <c r="T630" s="2"/>
    </row>
    <row r="631" spans="1:20" s="1" customFormat="1" ht="45.75" customHeight="1" x14ac:dyDescent="0.35">
      <c r="A631" s="605"/>
      <c r="B631" s="541"/>
      <c r="C631" s="465"/>
      <c r="D631" s="466" t="s">
        <v>644</v>
      </c>
      <c r="E631" s="465"/>
      <c r="F631" s="20"/>
      <c r="G631" s="20"/>
      <c r="H631" s="18"/>
      <c r="I631" s="18">
        <f>(H626+H627+H628+H629+H630)/5</f>
        <v>100</v>
      </c>
      <c r="J631" s="128"/>
      <c r="K631" s="466" t="s">
        <v>644</v>
      </c>
      <c r="L631" s="20"/>
      <c r="M631" s="124"/>
      <c r="N631" s="124"/>
      <c r="O631" s="18"/>
      <c r="P631" s="18">
        <f>O626</f>
        <v>98.837209302325576</v>
      </c>
      <c r="Q631" s="18">
        <f>(I631+P631)/2</f>
        <v>99.418604651162781</v>
      </c>
      <c r="R631" s="465" t="s">
        <v>112</v>
      </c>
      <c r="S631" s="557"/>
      <c r="T631" s="2"/>
    </row>
    <row r="632" spans="1:20" s="1" customFormat="1" ht="37.5" customHeight="1" x14ac:dyDescent="0.35">
      <c r="A632" s="605"/>
      <c r="B632" s="541"/>
      <c r="C632" s="454" t="s">
        <v>123</v>
      </c>
      <c r="D632" s="59" t="s">
        <v>27</v>
      </c>
      <c r="E632" s="19"/>
      <c r="F632" s="19"/>
      <c r="G632" s="19"/>
      <c r="H632" s="35"/>
      <c r="I632" s="35"/>
      <c r="J632" s="454" t="s">
        <v>123</v>
      </c>
      <c r="K632" s="59" t="s">
        <v>27</v>
      </c>
      <c r="L632" s="19"/>
      <c r="M632" s="122"/>
      <c r="N632" s="122"/>
      <c r="O632" s="35"/>
      <c r="P632" s="468"/>
      <c r="Q632" s="35"/>
      <c r="R632" s="19"/>
      <c r="S632" s="557"/>
      <c r="T632" s="2"/>
    </row>
    <row r="633" spans="1:20" s="1" customFormat="1" ht="48.75" customHeight="1" x14ac:dyDescent="0.35">
      <c r="A633" s="605"/>
      <c r="B633" s="541"/>
      <c r="C633" s="19" t="s">
        <v>124</v>
      </c>
      <c r="D633" s="41" t="s">
        <v>125</v>
      </c>
      <c r="E633" s="19" t="s">
        <v>18</v>
      </c>
      <c r="F633" s="19">
        <v>100</v>
      </c>
      <c r="G633" s="19">
        <v>100</v>
      </c>
      <c r="H633" s="24">
        <f>IF(G633/F633*100&gt;100,100,G633/F633*100)</f>
        <v>100</v>
      </c>
      <c r="I633" s="19"/>
      <c r="J633" s="129" t="s">
        <v>124</v>
      </c>
      <c r="K633" s="41" t="s">
        <v>106</v>
      </c>
      <c r="L633" s="19" t="s">
        <v>20</v>
      </c>
      <c r="M633" s="19">
        <v>320</v>
      </c>
      <c r="N633" s="19">
        <v>320</v>
      </c>
      <c r="O633" s="24">
        <f>IF(N633/M633*100&gt;110,110,N633/M633*100)</f>
        <v>100</v>
      </c>
      <c r="P633" s="468"/>
      <c r="Q633" s="35"/>
      <c r="R633" s="19"/>
      <c r="S633" s="557"/>
      <c r="T633" s="2"/>
    </row>
    <row r="634" spans="1:20" s="1" customFormat="1" ht="93.75" customHeight="1" x14ac:dyDescent="0.35">
      <c r="A634" s="605"/>
      <c r="B634" s="541"/>
      <c r="C634" s="19" t="s">
        <v>127</v>
      </c>
      <c r="D634" s="41" t="s">
        <v>128</v>
      </c>
      <c r="E634" s="19" t="s">
        <v>18</v>
      </c>
      <c r="F634" s="19">
        <v>90</v>
      </c>
      <c r="G634" s="19">
        <v>90</v>
      </c>
      <c r="H634" s="24">
        <f>IF(G634/F634*100&gt;100,100,G634/F634*100)</f>
        <v>100</v>
      </c>
      <c r="I634" s="19"/>
      <c r="J634" s="129"/>
      <c r="K634" s="41"/>
      <c r="L634" s="19"/>
      <c r="M634" s="122"/>
      <c r="N634" s="122"/>
      <c r="O634" s="24"/>
      <c r="P634" s="468"/>
      <c r="Q634" s="35"/>
      <c r="R634" s="19"/>
      <c r="S634" s="557"/>
      <c r="T634" s="2"/>
    </row>
    <row r="635" spans="1:20" s="1" customFormat="1" ht="45.75" customHeight="1" x14ac:dyDescent="0.35">
      <c r="A635" s="605"/>
      <c r="B635" s="541"/>
      <c r="C635" s="465"/>
      <c r="D635" s="466" t="s">
        <v>644</v>
      </c>
      <c r="E635" s="465"/>
      <c r="F635" s="20"/>
      <c r="G635" s="20"/>
      <c r="H635" s="18"/>
      <c r="I635" s="18">
        <f>(H633+H634)/2</f>
        <v>100</v>
      </c>
      <c r="J635" s="128"/>
      <c r="K635" s="466" t="s">
        <v>644</v>
      </c>
      <c r="L635" s="20"/>
      <c r="M635" s="124"/>
      <c r="N635" s="124"/>
      <c r="O635" s="18"/>
      <c r="P635" s="18">
        <f>O633</f>
        <v>100</v>
      </c>
      <c r="Q635" s="18">
        <f>(I635+P635)/2</f>
        <v>100</v>
      </c>
      <c r="R635" s="465" t="s">
        <v>25</v>
      </c>
      <c r="S635" s="557"/>
      <c r="T635" s="2"/>
    </row>
    <row r="636" spans="1:20" s="1" customFormat="1" ht="253.5" customHeight="1" x14ac:dyDescent="0.35">
      <c r="A636" s="605"/>
      <c r="B636" s="541"/>
      <c r="C636" s="454" t="s">
        <v>129</v>
      </c>
      <c r="D636" s="59" t="s">
        <v>275</v>
      </c>
      <c r="E636" s="454"/>
      <c r="F636" s="454"/>
      <c r="G636" s="454"/>
      <c r="H636" s="35"/>
      <c r="I636" s="35"/>
      <c r="J636" s="454" t="s">
        <v>129</v>
      </c>
      <c r="K636" s="59" t="s">
        <v>276</v>
      </c>
      <c r="L636" s="19"/>
      <c r="M636" s="19"/>
      <c r="N636" s="19"/>
      <c r="O636" s="35"/>
      <c r="P636" s="468"/>
      <c r="Q636" s="35"/>
      <c r="R636" s="19"/>
      <c r="S636" s="557"/>
      <c r="T636" s="2"/>
    </row>
    <row r="637" spans="1:20" s="1" customFormat="1" ht="70.5" customHeight="1" x14ac:dyDescent="0.35">
      <c r="A637" s="605"/>
      <c r="B637" s="541"/>
      <c r="C637" s="19" t="s">
        <v>131</v>
      </c>
      <c r="D637" s="41" t="s">
        <v>17</v>
      </c>
      <c r="E637" s="19" t="s">
        <v>18</v>
      </c>
      <c r="F637" s="19">
        <v>90</v>
      </c>
      <c r="G637" s="19">
        <v>90</v>
      </c>
      <c r="H637" s="24">
        <f>IF(G637/F637*100&gt;100,100,G637/F637*100)</f>
        <v>100</v>
      </c>
      <c r="I637" s="19"/>
      <c r="J637" s="19" t="s">
        <v>131</v>
      </c>
      <c r="K637" s="41" t="s">
        <v>273</v>
      </c>
      <c r="L637" s="19" t="s">
        <v>41</v>
      </c>
      <c r="M637" s="19">
        <v>54</v>
      </c>
      <c r="N637" s="19">
        <v>54</v>
      </c>
      <c r="O637" s="24">
        <f>IF(N637/M637*100&gt;110,110,N637/M637*100)</f>
        <v>100</v>
      </c>
      <c r="P637" s="468"/>
      <c r="Q637" s="35"/>
      <c r="R637" s="19"/>
      <c r="S637" s="557"/>
      <c r="T637" s="2"/>
    </row>
    <row r="638" spans="1:20" s="1" customFormat="1" ht="56.25" customHeight="1" x14ac:dyDescent="0.35">
      <c r="A638" s="605"/>
      <c r="B638" s="541"/>
      <c r="C638" s="465"/>
      <c r="D638" s="466" t="s">
        <v>644</v>
      </c>
      <c r="E638" s="465"/>
      <c r="F638" s="20"/>
      <c r="G638" s="20"/>
      <c r="H638" s="18"/>
      <c r="I638" s="18">
        <f>H637</f>
        <v>100</v>
      </c>
      <c r="J638" s="128"/>
      <c r="K638" s="466" t="s">
        <v>644</v>
      </c>
      <c r="L638" s="20"/>
      <c r="M638" s="124"/>
      <c r="N638" s="124"/>
      <c r="O638" s="18"/>
      <c r="P638" s="18">
        <f>O637</f>
        <v>100</v>
      </c>
      <c r="Q638" s="18">
        <f>(I638+P638)/2</f>
        <v>100</v>
      </c>
      <c r="R638" s="465" t="s">
        <v>25</v>
      </c>
      <c r="S638" s="557"/>
      <c r="T638" s="2"/>
    </row>
    <row r="639" spans="1:20" s="1" customFormat="1" ht="200.25" customHeight="1" x14ac:dyDescent="0.35">
      <c r="A639" s="605"/>
      <c r="B639" s="541"/>
      <c r="C639" s="454" t="s">
        <v>140</v>
      </c>
      <c r="D639" s="59" t="s">
        <v>274</v>
      </c>
      <c r="E639" s="454"/>
      <c r="F639" s="454"/>
      <c r="G639" s="454"/>
      <c r="H639" s="35"/>
      <c r="I639" s="35"/>
      <c r="J639" s="454" t="s">
        <v>140</v>
      </c>
      <c r="K639" s="59" t="s">
        <v>274</v>
      </c>
      <c r="L639" s="19"/>
      <c r="M639" s="19"/>
      <c r="N639" s="19"/>
      <c r="O639" s="35"/>
      <c r="P639" s="468"/>
      <c r="Q639" s="35"/>
      <c r="R639" s="19"/>
      <c r="S639" s="557"/>
      <c r="T639" s="2"/>
    </row>
    <row r="640" spans="1:20" s="1" customFormat="1" ht="77.25" customHeight="1" x14ac:dyDescent="0.35">
      <c r="A640" s="605"/>
      <c r="B640" s="541"/>
      <c r="C640" s="19" t="s">
        <v>142</v>
      </c>
      <c r="D640" s="41" t="s">
        <v>17</v>
      </c>
      <c r="E640" s="19" t="s">
        <v>18</v>
      </c>
      <c r="F640" s="19">
        <v>90</v>
      </c>
      <c r="G640" s="19">
        <v>90</v>
      </c>
      <c r="H640" s="24">
        <f>IF(G640/F640*100&gt;100,100,G640/F640*100)</f>
        <v>100</v>
      </c>
      <c r="I640" s="19"/>
      <c r="J640" s="19" t="s">
        <v>142</v>
      </c>
      <c r="K640" s="41" t="s">
        <v>273</v>
      </c>
      <c r="L640" s="19" t="s">
        <v>41</v>
      </c>
      <c r="M640" s="19">
        <v>30</v>
      </c>
      <c r="N640" s="19">
        <v>30</v>
      </c>
      <c r="O640" s="24">
        <f>IF(N640/M640*100&gt;110,110,N640/M640*100)</f>
        <v>100</v>
      </c>
      <c r="P640" s="468"/>
      <c r="Q640" s="35"/>
      <c r="R640" s="19"/>
      <c r="S640" s="557"/>
      <c r="T640" s="2"/>
    </row>
    <row r="641" spans="1:20" s="1" customFormat="1" ht="56.25" customHeight="1" x14ac:dyDescent="0.35">
      <c r="A641" s="605"/>
      <c r="B641" s="541"/>
      <c r="C641" s="465"/>
      <c r="D641" s="466" t="s">
        <v>644</v>
      </c>
      <c r="E641" s="465"/>
      <c r="F641" s="20"/>
      <c r="G641" s="20"/>
      <c r="H641" s="18"/>
      <c r="I641" s="18">
        <f>H640</f>
        <v>100</v>
      </c>
      <c r="J641" s="128"/>
      <c r="K641" s="466" t="s">
        <v>644</v>
      </c>
      <c r="L641" s="20"/>
      <c r="M641" s="124"/>
      <c r="N641" s="124"/>
      <c r="O641" s="18"/>
      <c r="P641" s="18">
        <f>O640</f>
        <v>100</v>
      </c>
      <c r="Q641" s="18">
        <f>(I641+P641)/2</f>
        <v>100</v>
      </c>
      <c r="R641" s="465" t="s">
        <v>25</v>
      </c>
      <c r="S641" s="557"/>
      <c r="T641" s="2"/>
    </row>
    <row r="642" spans="1:20" s="1" customFormat="1" ht="57" customHeight="1" x14ac:dyDescent="0.35">
      <c r="A642" s="605"/>
      <c r="B642" s="541"/>
      <c r="C642" s="454" t="s">
        <v>144</v>
      </c>
      <c r="D642" s="59" t="s">
        <v>130</v>
      </c>
      <c r="E642" s="19"/>
      <c r="F642" s="19"/>
      <c r="G642" s="19"/>
      <c r="H642" s="35"/>
      <c r="I642" s="35"/>
      <c r="J642" s="454" t="s">
        <v>144</v>
      </c>
      <c r="K642" s="59" t="str">
        <f>D642</f>
        <v>Реализация дополнительных общеразвивающих программ</v>
      </c>
      <c r="L642" s="19"/>
      <c r="M642" s="122"/>
      <c r="N642" s="122"/>
      <c r="O642" s="35"/>
      <c r="P642" s="468"/>
      <c r="Q642" s="35"/>
      <c r="R642" s="19"/>
      <c r="S642" s="557"/>
      <c r="T642" s="2"/>
    </row>
    <row r="643" spans="1:20" s="1" customFormat="1" ht="69.75" customHeight="1" x14ac:dyDescent="0.35">
      <c r="A643" s="605"/>
      <c r="B643" s="541"/>
      <c r="C643" s="19" t="s">
        <v>146</v>
      </c>
      <c r="D643" s="41" t="s">
        <v>128</v>
      </c>
      <c r="E643" s="19" t="s">
        <v>18</v>
      </c>
      <c r="F643" s="19">
        <v>90</v>
      </c>
      <c r="G643" s="19">
        <v>90</v>
      </c>
      <c r="H643" s="24">
        <f>IF(G643/F643*100&gt;100,100,G643/F643*100)</f>
        <v>100</v>
      </c>
      <c r="I643" s="19"/>
      <c r="J643" s="129" t="s">
        <v>146</v>
      </c>
      <c r="K643" s="41" t="s">
        <v>136</v>
      </c>
      <c r="L643" s="19" t="s">
        <v>139</v>
      </c>
      <c r="M643" s="19">
        <v>73440</v>
      </c>
      <c r="N643" s="19">
        <v>69444</v>
      </c>
      <c r="O643" s="24">
        <f>IF(N643/M643*100&gt;110,110,N643/M643*100)</f>
        <v>94.558823529411768</v>
      </c>
      <c r="P643" s="468"/>
      <c r="Q643" s="35"/>
      <c r="R643" s="19"/>
      <c r="S643" s="557"/>
      <c r="T643" s="2"/>
    </row>
    <row r="644" spans="1:20" s="1" customFormat="1" ht="40.5" customHeight="1" x14ac:dyDescent="0.35">
      <c r="A644" s="605"/>
      <c r="B644" s="541"/>
      <c r="C644" s="465"/>
      <c r="D644" s="466" t="s">
        <v>644</v>
      </c>
      <c r="E644" s="465"/>
      <c r="F644" s="20"/>
      <c r="G644" s="20"/>
      <c r="H644" s="18"/>
      <c r="I644" s="18">
        <f>H643</f>
        <v>100</v>
      </c>
      <c r="J644" s="128"/>
      <c r="K644" s="466" t="s">
        <v>644</v>
      </c>
      <c r="L644" s="20"/>
      <c r="M644" s="124"/>
      <c r="N644" s="124"/>
      <c r="O644" s="18"/>
      <c r="P644" s="18">
        <f>O643</f>
        <v>94.558823529411768</v>
      </c>
      <c r="Q644" s="18">
        <f>(I644+P644)/2</f>
        <v>97.279411764705884</v>
      </c>
      <c r="R644" s="465" t="s">
        <v>112</v>
      </c>
      <c r="S644" s="557"/>
      <c r="T644" s="2"/>
    </row>
    <row r="645" spans="1:20" s="1" customFormat="1" ht="76.5" customHeight="1" x14ac:dyDescent="0.35">
      <c r="A645" s="605"/>
      <c r="B645" s="541"/>
      <c r="C645" s="454" t="s">
        <v>147</v>
      </c>
      <c r="D645" s="59" t="s">
        <v>141</v>
      </c>
      <c r="E645" s="19"/>
      <c r="F645" s="19"/>
      <c r="G645" s="19"/>
      <c r="H645" s="35"/>
      <c r="I645" s="35"/>
      <c r="J645" s="454" t="s">
        <v>147</v>
      </c>
      <c r="K645" s="59" t="str">
        <f>D645</f>
        <v>Психолого-медико-педагогическое обследование детей начальное общее образование</v>
      </c>
      <c r="L645" s="19"/>
      <c r="M645" s="122"/>
      <c r="N645" s="122"/>
      <c r="O645" s="35"/>
      <c r="P645" s="468"/>
      <c r="Q645" s="35"/>
      <c r="R645" s="19"/>
      <c r="S645" s="557"/>
      <c r="T645" s="2"/>
    </row>
    <row r="646" spans="1:20" s="1" customFormat="1" ht="49.5" customHeight="1" x14ac:dyDescent="0.35">
      <c r="A646" s="605"/>
      <c r="B646" s="541"/>
      <c r="C646" s="19" t="s">
        <v>149</v>
      </c>
      <c r="D646" s="41" t="s">
        <v>143</v>
      </c>
      <c r="E646" s="19" t="s">
        <v>18</v>
      </c>
      <c r="F646" s="19">
        <v>100</v>
      </c>
      <c r="G646" s="19">
        <v>100</v>
      </c>
      <c r="H646" s="24">
        <f>IF(G646/F646*100&gt;100,100,G646/F646*100)</f>
        <v>100</v>
      </c>
      <c r="I646" s="19"/>
      <c r="J646" s="129" t="s">
        <v>149</v>
      </c>
      <c r="K646" s="41" t="s">
        <v>106</v>
      </c>
      <c r="L646" s="19" t="s">
        <v>20</v>
      </c>
      <c r="M646" s="19">
        <v>307</v>
      </c>
      <c r="N646" s="19">
        <v>307</v>
      </c>
      <c r="O646" s="24">
        <f>IF(N646/M646*100&gt;110,110,N646/M646*100)</f>
        <v>100</v>
      </c>
      <c r="P646" s="468"/>
      <c r="Q646" s="35"/>
      <c r="R646" s="19"/>
      <c r="S646" s="557"/>
      <c r="T646" s="2"/>
    </row>
    <row r="647" spans="1:20" s="1" customFormat="1" ht="49.5" customHeight="1" x14ac:dyDescent="0.35">
      <c r="A647" s="605"/>
      <c r="B647" s="541"/>
      <c r="C647" s="465"/>
      <c r="D647" s="466" t="s">
        <v>644</v>
      </c>
      <c r="E647" s="465"/>
      <c r="F647" s="20"/>
      <c r="G647" s="20"/>
      <c r="H647" s="18"/>
      <c r="I647" s="18">
        <f>H646</f>
        <v>100</v>
      </c>
      <c r="J647" s="128"/>
      <c r="K647" s="466" t="s">
        <v>644</v>
      </c>
      <c r="L647" s="20"/>
      <c r="M647" s="124"/>
      <c r="N647" s="124"/>
      <c r="O647" s="18"/>
      <c r="P647" s="18">
        <f>O646</f>
        <v>100</v>
      </c>
      <c r="Q647" s="18">
        <f>(I647+P647)/2</f>
        <v>100</v>
      </c>
      <c r="R647" s="465" t="s">
        <v>25</v>
      </c>
      <c r="S647" s="557"/>
      <c r="T647" s="2"/>
    </row>
    <row r="648" spans="1:20" s="1" customFormat="1" ht="76.5" customHeight="1" x14ac:dyDescent="0.35">
      <c r="A648" s="605"/>
      <c r="B648" s="541"/>
      <c r="C648" s="454" t="s">
        <v>150</v>
      </c>
      <c r="D648" s="59" t="s">
        <v>145</v>
      </c>
      <c r="E648" s="19"/>
      <c r="F648" s="19"/>
      <c r="G648" s="19"/>
      <c r="H648" s="35"/>
      <c r="I648" s="35"/>
      <c r="J648" s="454" t="s">
        <v>150</v>
      </c>
      <c r="K648" s="59" t="str">
        <f>D648</f>
        <v xml:space="preserve">Психолого-медико-педагогическое обследование детей основное общее образование </v>
      </c>
      <c r="L648" s="19"/>
      <c r="M648" s="122"/>
      <c r="N648" s="122"/>
      <c r="O648" s="35"/>
      <c r="P648" s="468"/>
      <c r="Q648" s="35"/>
      <c r="R648" s="19"/>
      <c r="S648" s="557"/>
      <c r="T648" s="2"/>
    </row>
    <row r="649" spans="1:20" s="1" customFormat="1" ht="49.5" customHeight="1" x14ac:dyDescent="0.35">
      <c r="A649" s="605"/>
      <c r="B649" s="541"/>
      <c r="C649" s="19" t="s">
        <v>152</v>
      </c>
      <c r="D649" s="41" t="s">
        <v>143</v>
      </c>
      <c r="E649" s="19" t="s">
        <v>18</v>
      </c>
      <c r="F649" s="19">
        <v>100</v>
      </c>
      <c r="G649" s="19">
        <v>100</v>
      </c>
      <c r="H649" s="24">
        <f>IF(G649/F649*100&gt;100,100,G649/F649*100)</f>
        <v>100</v>
      </c>
      <c r="I649" s="19"/>
      <c r="J649" s="129" t="s">
        <v>152</v>
      </c>
      <c r="K649" s="41" t="s">
        <v>106</v>
      </c>
      <c r="L649" s="19" t="s">
        <v>20</v>
      </c>
      <c r="M649" s="19">
        <v>103</v>
      </c>
      <c r="N649" s="19">
        <v>103</v>
      </c>
      <c r="O649" s="24">
        <f>IF(N649/M649*100&gt;110,110,N649/M649*100)</f>
        <v>100</v>
      </c>
      <c r="P649" s="468"/>
      <c r="Q649" s="35"/>
      <c r="R649" s="19"/>
      <c r="S649" s="557"/>
      <c r="T649" s="2"/>
    </row>
    <row r="650" spans="1:20" s="1" customFormat="1" ht="49.5" customHeight="1" x14ac:dyDescent="0.35">
      <c r="A650" s="605"/>
      <c r="B650" s="541"/>
      <c r="C650" s="465"/>
      <c r="D650" s="466" t="s">
        <v>644</v>
      </c>
      <c r="E650" s="465"/>
      <c r="F650" s="20"/>
      <c r="G650" s="20"/>
      <c r="H650" s="18"/>
      <c r="I650" s="18">
        <f>H649</f>
        <v>100</v>
      </c>
      <c r="J650" s="128"/>
      <c r="K650" s="466" t="s">
        <v>644</v>
      </c>
      <c r="L650" s="20"/>
      <c r="M650" s="124"/>
      <c r="N650" s="124"/>
      <c r="O650" s="18"/>
      <c r="P650" s="18">
        <f>O649</f>
        <v>100</v>
      </c>
      <c r="Q650" s="18">
        <f>(I650+P650)/2</f>
        <v>100</v>
      </c>
      <c r="R650" s="465" t="s">
        <v>25</v>
      </c>
      <c r="S650" s="557"/>
      <c r="T650" s="2"/>
    </row>
    <row r="651" spans="1:20" s="1" customFormat="1" ht="76.5" customHeight="1" x14ac:dyDescent="0.35">
      <c r="A651" s="605"/>
      <c r="B651" s="541"/>
      <c r="C651" s="454" t="s">
        <v>277</v>
      </c>
      <c r="D651" s="59" t="s">
        <v>148</v>
      </c>
      <c r="E651" s="19"/>
      <c r="F651" s="19"/>
      <c r="G651" s="19"/>
      <c r="H651" s="35"/>
      <c r="I651" s="35"/>
      <c r="J651" s="454" t="s">
        <v>277</v>
      </c>
      <c r="K651" s="59" t="str">
        <f>D651</f>
        <v xml:space="preserve">Психолого-медико-педагогическое обследование детей среднее общее образование </v>
      </c>
      <c r="L651" s="19"/>
      <c r="M651" s="122"/>
      <c r="N651" s="122"/>
      <c r="O651" s="35"/>
      <c r="P651" s="468"/>
      <c r="Q651" s="35"/>
      <c r="R651" s="19"/>
      <c r="S651" s="557"/>
      <c r="T651" s="2"/>
    </row>
    <row r="652" spans="1:20" s="1" customFormat="1" ht="49.5" customHeight="1" x14ac:dyDescent="0.35">
      <c r="A652" s="605"/>
      <c r="B652" s="541"/>
      <c r="C652" s="19" t="s">
        <v>278</v>
      </c>
      <c r="D652" s="41" t="s">
        <v>143</v>
      </c>
      <c r="E652" s="19" t="s">
        <v>18</v>
      </c>
      <c r="F652" s="19">
        <v>100</v>
      </c>
      <c r="G652" s="19">
        <v>100</v>
      </c>
      <c r="H652" s="24">
        <f>IF(G652/F652*100&gt;100,100,G652/F652*100)</f>
        <v>100</v>
      </c>
      <c r="I652" s="19"/>
      <c r="J652" s="129" t="s">
        <v>278</v>
      </c>
      <c r="K652" s="41" t="s">
        <v>106</v>
      </c>
      <c r="L652" s="19" t="s">
        <v>20</v>
      </c>
      <c r="M652" s="19">
        <v>6</v>
      </c>
      <c r="N652" s="19">
        <v>6</v>
      </c>
      <c r="O652" s="24">
        <f>IF(N652/M652*100&gt;110,110,N652/M652*100)</f>
        <v>100</v>
      </c>
      <c r="P652" s="468"/>
      <c r="Q652" s="35"/>
      <c r="R652" s="19"/>
      <c r="S652" s="557"/>
      <c r="T652" s="2"/>
    </row>
    <row r="653" spans="1:20" s="1" customFormat="1" ht="49.5" customHeight="1" x14ac:dyDescent="0.35">
      <c r="A653" s="605"/>
      <c r="B653" s="541"/>
      <c r="C653" s="465"/>
      <c r="D653" s="466" t="s">
        <v>644</v>
      </c>
      <c r="E653" s="465"/>
      <c r="F653" s="20"/>
      <c r="G653" s="20"/>
      <c r="H653" s="18"/>
      <c r="I653" s="18">
        <f>H652</f>
        <v>100</v>
      </c>
      <c r="J653" s="128"/>
      <c r="K653" s="466" t="s">
        <v>644</v>
      </c>
      <c r="L653" s="20"/>
      <c r="M653" s="124"/>
      <c r="N653" s="124"/>
      <c r="O653" s="18"/>
      <c r="P653" s="18">
        <f>O652</f>
        <v>100</v>
      </c>
      <c r="Q653" s="18">
        <f>(I653+P653)/2</f>
        <v>100</v>
      </c>
      <c r="R653" s="465" t="s">
        <v>25</v>
      </c>
      <c r="S653" s="557"/>
      <c r="T653" s="2"/>
    </row>
    <row r="654" spans="1:20" s="1" customFormat="1" ht="76.5" customHeight="1" x14ac:dyDescent="0.35">
      <c r="A654" s="605"/>
      <c r="B654" s="541"/>
      <c r="C654" s="454" t="s">
        <v>279</v>
      </c>
      <c r="D654" s="59" t="s">
        <v>151</v>
      </c>
      <c r="E654" s="19"/>
      <c r="F654" s="19"/>
      <c r="G654" s="19"/>
      <c r="H654" s="35"/>
      <c r="I654" s="35"/>
      <c r="J654" s="454" t="s">
        <v>279</v>
      </c>
      <c r="K654" s="59" t="str">
        <f>D654</f>
        <v>Психолого-медико-педагогическое обследование детей дошкольное общее образование</v>
      </c>
      <c r="L654" s="19"/>
      <c r="M654" s="122"/>
      <c r="N654" s="122"/>
      <c r="O654" s="35"/>
      <c r="P654" s="468"/>
      <c r="Q654" s="35"/>
      <c r="R654" s="19"/>
      <c r="S654" s="557"/>
      <c r="T654" s="2"/>
    </row>
    <row r="655" spans="1:20" s="1" customFormat="1" ht="49.5" customHeight="1" x14ac:dyDescent="0.35">
      <c r="A655" s="605"/>
      <c r="B655" s="541"/>
      <c r="C655" s="19" t="s">
        <v>280</v>
      </c>
      <c r="D655" s="41" t="s">
        <v>143</v>
      </c>
      <c r="E655" s="19" t="s">
        <v>18</v>
      </c>
      <c r="F655" s="19">
        <v>100</v>
      </c>
      <c r="G655" s="19">
        <v>100</v>
      </c>
      <c r="H655" s="24">
        <f>IF(G655/F655*100&gt;100,100,G655/F655*100)</f>
        <v>100</v>
      </c>
      <c r="I655" s="19"/>
      <c r="J655" s="129" t="s">
        <v>280</v>
      </c>
      <c r="K655" s="41" t="s">
        <v>106</v>
      </c>
      <c r="L655" s="19" t="s">
        <v>20</v>
      </c>
      <c r="M655" s="19">
        <v>630</v>
      </c>
      <c r="N655" s="19">
        <v>630</v>
      </c>
      <c r="O655" s="24">
        <f>IF(N655/M655*100&gt;110,110,N655/M655*100)</f>
        <v>100</v>
      </c>
      <c r="P655" s="468"/>
      <c r="Q655" s="35"/>
      <c r="R655" s="19"/>
      <c r="S655" s="557"/>
      <c r="T655" s="2"/>
    </row>
    <row r="656" spans="1:20" s="1" customFormat="1" ht="49.5" customHeight="1" x14ac:dyDescent="0.35">
      <c r="A656" s="605"/>
      <c r="B656" s="541"/>
      <c r="C656" s="465"/>
      <c r="D656" s="466" t="s">
        <v>644</v>
      </c>
      <c r="E656" s="465"/>
      <c r="F656" s="20"/>
      <c r="G656" s="20"/>
      <c r="H656" s="18"/>
      <c r="I656" s="18">
        <f>H655</f>
        <v>100</v>
      </c>
      <c r="J656" s="128"/>
      <c r="K656" s="466" t="s">
        <v>644</v>
      </c>
      <c r="L656" s="20"/>
      <c r="M656" s="124"/>
      <c r="N656" s="124"/>
      <c r="O656" s="18"/>
      <c r="P656" s="18">
        <f>O655</f>
        <v>100</v>
      </c>
      <c r="Q656" s="18">
        <f>(I656+P656)/2</f>
        <v>100</v>
      </c>
      <c r="R656" s="465" t="s">
        <v>25</v>
      </c>
      <c r="S656" s="557"/>
      <c r="T656" s="2"/>
    </row>
    <row r="657" spans="1:20" s="1" customFormat="1" ht="70.5" customHeight="1" x14ac:dyDescent="0.35">
      <c r="A657" s="605">
        <v>41</v>
      </c>
      <c r="B657" s="541" t="s">
        <v>153</v>
      </c>
      <c r="C657" s="454" t="s">
        <v>13</v>
      </c>
      <c r="D657" s="59" t="s">
        <v>103</v>
      </c>
      <c r="E657" s="454"/>
      <c r="F657" s="454"/>
      <c r="G657" s="454"/>
      <c r="H657" s="35"/>
      <c r="I657" s="35"/>
      <c r="J657" s="454" t="s">
        <v>13</v>
      </c>
      <c r="K657" s="59" t="s">
        <v>103</v>
      </c>
      <c r="L657" s="19"/>
      <c r="M657" s="19"/>
      <c r="N657" s="19"/>
      <c r="O657" s="35"/>
      <c r="P657" s="468"/>
      <c r="Q657" s="35"/>
      <c r="R657" s="19"/>
      <c r="S657" s="557" t="s">
        <v>104</v>
      </c>
      <c r="T657" s="2"/>
    </row>
    <row r="658" spans="1:20" s="1" customFormat="1" ht="73.5" customHeight="1" x14ac:dyDescent="0.35">
      <c r="A658" s="605"/>
      <c r="B658" s="541"/>
      <c r="C658" s="19" t="s">
        <v>16</v>
      </c>
      <c r="D658" s="41" t="s">
        <v>105</v>
      </c>
      <c r="E658" s="19" t="s">
        <v>18</v>
      </c>
      <c r="F658" s="19">
        <v>100</v>
      </c>
      <c r="G658" s="19">
        <v>100</v>
      </c>
      <c r="H658" s="24">
        <f>IF(G658/F658*100&gt;100,100,G658/F658*100)</f>
        <v>100</v>
      </c>
      <c r="I658" s="19"/>
      <c r="J658" s="19" t="s">
        <v>16</v>
      </c>
      <c r="K658" s="41" t="s">
        <v>106</v>
      </c>
      <c r="L658" s="19" t="s">
        <v>20</v>
      </c>
      <c r="M658" s="19">
        <v>331</v>
      </c>
      <c r="N658" s="19">
        <v>322</v>
      </c>
      <c r="O658" s="24">
        <f>IF(N658/M658*100&gt;110,110,N658/M658*100)</f>
        <v>97.280966767371595</v>
      </c>
      <c r="P658" s="468"/>
      <c r="Q658" s="35"/>
      <c r="R658" s="19"/>
      <c r="S658" s="557"/>
      <c r="T658" s="2"/>
    </row>
    <row r="659" spans="1:20" s="1" customFormat="1" ht="38.25" customHeight="1" x14ac:dyDescent="0.35">
      <c r="A659" s="605"/>
      <c r="B659" s="541"/>
      <c r="C659" s="19" t="s">
        <v>21</v>
      </c>
      <c r="D659" s="41" t="s">
        <v>135</v>
      </c>
      <c r="E659" s="19" t="s">
        <v>18</v>
      </c>
      <c r="F659" s="19">
        <v>100</v>
      </c>
      <c r="G659" s="19">
        <v>100</v>
      </c>
      <c r="H659" s="24">
        <f>IF(G659/F659*100&gt;100,100,G659/F659*100)</f>
        <v>100</v>
      </c>
      <c r="I659" s="19"/>
      <c r="J659" s="19"/>
      <c r="K659" s="455"/>
      <c r="L659" s="19"/>
      <c r="M659" s="476"/>
      <c r="N659" s="476"/>
      <c r="O659" s="24"/>
      <c r="P659" s="468"/>
      <c r="Q659" s="35"/>
      <c r="R659" s="19"/>
      <c r="S659" s="557"/>
      <c r="T659" s="2"/>
    </row>
    <row r="660" spans="1:20" s="1" customFormat="1" ht="54" customHeight="1" x14ac:dyDescent="0.35">
      <c r="A660" s="605"/>
      <c r="B660" s="541"/>
      <c r="C660" s="19" t="s">
        <v>23</v>
      </c>
      <c r="D660" s="41" t="s">
        <v>108</v>
      </c>
      <c r="E660" s="19" t="s">
        <v>18</v>
      </c>
      <c r="F660" s="19">
        <v>100</v>
      </c>
      <c r="G660" s="19">
        <v>100</v>
      </c>
      <c r="H660" s="24">
        <f>IF(G660/F660*100&gt;100,100,G660/F660*100)</f>
        <v>100</v>
      </c>
      <c r="I660" s="19"/>
      <c r="J660" s="129"/>
      <c r="K660" s="41"/>
      <c r="L660" s="19"/>
      <c r="M660" s="122"/>
      <c r="N660" s="122"/>
      <c r="O660" s="24"/>
      <c r="P660" s="468"/>
      <c r="Q660" s="35"/>
      <c r="R660" s="19"/>
      <c r="S660" s="557"/>
      <c r="T660" s="2"/>
    </row>
    <row r="661" spans="1:20" s="1" customFormat="1" ht="63.75" customHeight="1" x14ac:dyDescent="0.35">
      <c r="A661" s="605"/>
      <c r="B661" s="541"/>
      <c r="C661" s="19" t="s">
        <v>109</v>
      </c>
      <c r="D661" s="41" t="s">
        <v>17</v>
      </c>
      <c r="E661" s="19" t="s">
        <v>18</v>
      </c>
      <c r="F661" s="19">
        <v>90</v>
      </c>
      <c r="G661" s="19">
        <v>90</v>
      </c>
      <c r="H661" s="24">
        <f>IF(G661/F661*100&gt;100,100,G661/F661*100)</f>
        <v>100</v>
      </c>
      <c r="I661" s="19"/>
      <c r="J661" s="129"/>
      <c r="K661" s="41"/>
      <c r="L661" s="19"/>
      <c r="M661" s="122"/>
      <c r="N661" s="122"/>
      <c r="O661" s="24"/>
      <c r="P661" s="468"/>
      <c r="Q661" s="35"/>
      <c r="R661" s="19"/>
      <c r="S661" s="557"/>
      <c r="T661" s="2"/>
    </row>
    <row r="662" spans="1:20" s="1" customFormat="1" ht="116.25" customHeight="1" x14ac:dyDescent="0.35">
      <c r="A662" s="605"/>
      <c r="B662" s="541"/>
      <c r="C662" s="19" t="s">
        <v>110</v>
      </c>
      <c r="D662" s="41" t="s">
        <v>111</v>
      </c>
      <c r="E662" s="19" t="s">
        <v>18</v>
      </c>
      <c r="F662" s="19">
        <v>100</v>
      </c>
      <c r="G662" s="19">
        <v>100</v>
      </c>
      <c r="H662" s="24">
        <f>IF(G662/F662*100&gt;100,100,G662/F662*100)</f>
        <v>100</v>
      </c>
      <c r="I662" s="19"/>
      <c r="J662" s="129"/>
      <c r="K662" s="41"/>
      <c r="L662" s="19"/>
      <c r="M662" s="122"/>
      <c r="N662" s="122"/>
      <c r="O662" s="24"/>
      <c r="P662" s="468"/>
      <c r="Q662" s="35"/>
      <c r="R662" s="19"/>
      <c r="S662" s="557"/>
      <c r="T662" s="2"/>
    </row>
    <row r="663" spans="1:20" s="1" customFormat="1" ht="40.5" customHeight="1" x14ac:dyDescent="0.35">
      <c r="A663" s="605"/>
      <c r="B663" s="541"/>
      <c r="C663" s="465"/>
      <c r="D663" s="466" t="s">
        <v>644</v>
      </c>
      <c r="E663" s="465"/>
      <c r="F663" s="20"/>
      <c r="G663" s="20"/>
      <c r="H663" s="18"/>
      <c r="I663" s="18">
        <f>(H658+H659+H660+H661+H662)/5</f>
        <v>100</v>
      </c>
      <c r="J663" s="128"/>
      <c r="K663" s="466" t="s">
        <v>644</v>
      </c>
      <c r="L663" s="20"/>
      <c r="M663" s="124"/>
      <c r="N663" s="124"/>
      <c r="O663" s="18"/>
      <c r="P663" s="18">
        <f>O658</f>
        <v>97.280966767371595</v>
      </c>
      <c r="Q663" s="18">
        <f>(I663+P663)/2</f>
        <v>98.64048338368579</v>
      </c>
      <c r="R663" s="465" t="s">
        <v>112</v>
      </c>
      <c r="S663" s="557"/>
      <c r="T663" s="2"/>
    </row>
    <row r="664" spans="1:20" s="1" customFormat="1" ht="81.75" customHeight="1" x14ac:dyDescent="0.35">
      <c r="A664" s="605"/>
      <c r="B664" s="541"/>
      <c r="C664" s="454" t="s">
        <v>26</v>
      </c>
      <c r="D664" s="59" t="s">
        <v>113</v>
      </c>
      <c r="E664" s="19"/>
      <c r="F664" s="19"/>
      <c r="G664" s="19"/>
      <c r="H664" s="35"/>
      <c r="I664" s="35"/>
      <c r="J664" s="454" t="s">
        <v>26</v>
      </c>
      <c r="K664" s="59" t="s">
        <v>113</v>
      </c>
      <c r="L664" s="19"/>
      <c r="M664" s="122"/>
      <c r="N664" s="122"/>
      <c r="O664" s="35"/>
      <c r="P664" s="468"/>
      <c r="Q664" s="35"/>
      <c r="R664" s="19"/>
      <c r="S664" s="557"/>
      <c r="T664" s="2"/>
    </row>
    <row r="665" spans="1:20" s="1" customFormat="1" ht="67.5" customHeight="1" x14ac:dyDescent="0.35">
      <c r="A665" s="605"/>
      <c r="B665" s="541"/>
      <c r="C665" s="19" t="s">
        <v>28</v>
      </c>
      <c r="D665" s="41" t="s">
        <v>114</v>
      </c>
      <c r="E665" s="19" t="s">
        <v>18</v>
      </c>
      <c r="F665" s="19">
        <v>100</v>
      </c>
      <c r="G665" s="19">
        <v>100</v>
      </c>
      <c r="H665" s="24">
        <f>IF(G665/F665*100&gt;100,100,G665/F665*100)</f>
        <v>100</v>
      </c>
      <c r="I665" s="19"/>
      <c r="J665" s="129" t="s">
        <v>28</v>
      </c>
      <c r="K665" s="41" t="s">
        <v>106</v>
      </c>
      <c r="L665" s="19" t="s">
        <v>20</v>
      </c>
      <c r="M665" s="19">
        <v>348</v>
      </c>
      <c r="N665" s="19">
        <v>347</v>
      </c>
      <c r="O665" s="24">
        <f>IF(N665/M665*100&gt;110,110,N665/M665*100)</f>
        <v>99.712643678160916</v>
      </c>
      <c r="P665" s="19"/>
      <c r="Q665" s="35"/>
      <c r="R665" s="19"/>
      <c r="S665" s="557"/>
      <c r="T665" s="2"/>
    </row>
    <row r="666" spans="1:20" s="1" customFormat="1" ht="42.75" customHeight="1" x14ac:dyDescent="0.35">
      <c r="A666" s="605"/>
      <c r="B666" s="541"/>
      <c r="C666" s="19" t="s">
        <v>30</v>
      </c>
      <c r="D666" s="41" t="s">
        <v>115</v>
      </c>
      <c r="E666" s="19" t="s">
        <v>18</v>
      </c>
      <c r="F666" s="19">
        <v>100</v>
      </c>
      <c r="G666" s="19">
        <v>100</v>
      </c>
      <c r="H666" s="24">
        <f>IF(G666/F666*100&gt;100,100,G666/F666*100)</f>
        <v>100</v>
      </c>
      <c r="I666" s="19"/>
      <c r="J666" s="129"/>
      <c r="K666" s="41"/>
      <c r="L666" s="19"/>
      <c r="M666" s="122"/>
      <c r="N666" s="122"/>
      <c r="O666" s="24"/>
      <c r="P666" s="468"/>
      <c r="Q666" s="35"/>
      <c r="R666" s="19"/>
      <c r="S666" s="557"/>
      <c r="T666" s="2"/>
    </row>
    <row r="667" spans="1:20" s="1" customFormat="1" ht="51" customHeight="1" x14ac:dyDescent="0.35">
      <c r="A667" s="605"/>
      <c r="B667" s="541"/>
      <c r="C667" s="19" t="s">
        <v>34</v>
      </c>
      <c r="D667" s="41" t="s">
        <v>108</v>
      </c>
      <c r="E667" s="19" t="s">
        <v>18</v>
      </c>
      <c r="F667" s="19">
        <v>100</v>
      </c>
      <c r="G667" s="19">
        <v>100</v>
      </c>
      <c r="H667" s="24">
        <f>IF(G667/F667*100&gt;100,100,G667/F667*100)</f>
        <v>100</v>
      </c>
      <c r="I667" s="19"/>
      <c r="J667" s="129"/>
      <c r="K667" s="41"/>
      <c r="L667" s="19"/>
      <c r="M667" s="122"/>
      <c r="N667" s="122"/>
      <c r="O667" s="24"/>
      <c r="P667" s="468"/>
      <c r="Q667" s="35"/>
      <c r="R667" s="19"/>
      <c r="S667" s="557"/>
      <c r="T667" s="2"/>
    </row>
    <row r="668" spans="1:20" s="1" customFormat="1" ht="77.25" customHeight="1" x14ac:dyDescent="0.35">
      <c r="A668" s="605"/>
      <c r="B668" s="541"/>
      <c r="C668" s="19" t="s">
        <v>78</v>
      </c>
      <c r="D668" s="41" t="s">
        <v>17</v>
      </c>
      <c r="E668" s="19" t="s">
        <v>18</v>
      </c>
      <c r="F668" s="19">
        <v>90</v>
      </c>
      <c r="G668" s="19">
        <v>90</v>
      </c>
      <c r="H668" s="24">
        <f>IF(G668/F668*100&gt;100,100,G668/F668*100)</f>
        <v>100</v>
      </c>
      <c r="I668" s="19"/>
      <c r="J668" s="129"/>
      <c r="K668" s="41"/>
      <c r="L668" s="19"/>
      <c r="M668" s="122"/>
      <c r="N668" s="122"/>
      <c r="O668" s="24"/>
      <c r="P668" s="468"/>
      <c r="Q668" s="35"/>
      <c r="R668" s="19"/>
      <c r="S668" s="557"/>
      <c r="T668" s="2"/>
    </row>
    <row r="669" spans="1:20" s="1" customFormat="1" ht="121.5" customHeight="1" x14ac:dyDescent="0.35">
      <c r="A669" s="605"/>
      <c r="B669" s="541"/>
      <c r="C669" s="19" t="s">
        <v>79</v>
      </c>
      <c r="D669" s="41" t="s">
        <v>111</v>
      </c>
      <c r="E669" s="19" t="s">
        <v>18</v>
      </c>
      <c r="F669" s="19">
        <v>100</v>
      </c>
      <c r="G669" s="19">
        <v>100</v>
      </c>
      <c r="H669" s="24">
        <f>IF(G669/F669*100&gt;100,100,G669/F669*100)</f>
        <v>100</v>
      </c>
      <c r="I669" s="19"/>
      <c r="J669" s="129"/>
      <c r="K669" s="41"/>
      <c r="L669" s="19"/>
      <c r="M669" s="122"/>
      <c r="N669" s="122"/>
      <c r="O669" s="24"/>
      <c r="P669" s="468"/>
      <c r="Q669" s="35"/>
      <c r="R669" s="19"/>
      <c r="S669" s="557"/>
      <c r="T669" s="2"/>
    </row>
    <row r="670" spans="1:20" s="1" customFormat="1" ht="40.5" customHeight="1" x14ac:dyDescent="0.35">
      <c r="A670" s="605"/>
      <c r="B670" s="541"/>
      <c r="C670" s="465"/>
      <c r="D670" s="466" t="s">
        <v>644</v>
      </c>
      <c r="E670" s="465"/>
      <c r="F670" s="20"/>
      <c r="G670" s="20"/>
      <c r="H670" s="18"/>
      <c r="I670" s="18">
        <f>(H665+H666+H667+H668+H669)/5</f>
        <v>100</v>
      </c>
      <c r="J670" s="128"/>
      <c r="K670" s="466" t="s">
        <v>644</v>
      </c>
      <c r="L670" s="20"/>
      <c r="M670" s="124"/>
      <c r="N670" s="124"/>
      <c r="O670" s="18"/>
      <c r="P670" s="18">
        <f>O665</f>
        <v>99.712643678160916</v>
      </c>
      <c r="Q670" s="18">
        <f>(I670+P670)/2</f>
        <v>99.856321839080465</v>
      </c>
      <c r="R670" s="465" t="s">
        <v>112</v>
      </c>
      <c r="S670" s="557"/>
      <c r="T670" s="2"/>
    </row>
    <row r="671" spans="1:20" s="1" customFormat="1" ht="81" customHeight="1" x14ac:dyDescent="0.35">
      <c r="A671" s="605"/>
      <c r="B671" s="541"/>
      <c r="C671" s="454" t="s">
        <v>36</v>
      </c>
      <c r="D671" s="59" t="s">
        <v>116</v>
      </c>
      <c r="E671" s="19"/>
      <c r="F671" s="19"/>
      <c r="G671" s="19"/>
      <c r="H671" s="35"/>
      <c r="I671" s="35"/>
      <c r="J671" s="454" t="s">
        <v>36</v>
      </c>
      <c r="K671" s="59" t="str">
        <f>D671</f>
        <v>Реализация основных общеобразовательных программ среднего общего образования</v>
      </c>
      <c r="L671" s="19"/>
      <c r="M671" s="122"/>
      <c r="N671" s="122"/>
      <c r="O671" s="35"/>
      <c r="P671" s="468"/>
      <c r="Q671" s="35"/>
      <c r="R671" s="19"/>
      <c r="S671" s="557"/>
      <c r="T671" s="2"/>
    </row>
    <row r="672" spans="1:20" s="1" customFormat="1" ht="77.25" customHeight="1" x14ac:dyDescent="0.35">
      <c r="A672" s="605"/>
      <c r="B672" s="541"/>
      <c r="C672" s="19" t="s">
        <v>38</v>
      </c>
      <c r="D672" s="41" t="s">
        <v>117</v>
      </c>
      <c r="E672" s="19" t="s">
        <v>18</v>
      </c>
      <c r="F672" s="19">
        <v>100</v>
      </c>
      <c r="G672" s="19">
        <v>100</v>
      </c>
      <c r="H672" s="24">
        <f>IF(G672/F672*100&gt;100,100,G672/F672*100)</f>
        <v>100</v>
      </c>
      <c r="I672" s="19"/>
      <c r="J672" s="129" t="s">
        <v>38</v>
      </c>
      <c r="K672" s="41" t="s">
        <v>106</v>
      </c>
      <c r="L672" s="19" t="s">
        <v>20</v>
      </c>
      <c r="M672" s="19">
        <v>83</v>
      </c>
      <c r="N672" s="19">
        <v>81</v>
      </c>
      <c r="O672" s="24">
        <f>IF(N672/M672*100&gt;110,110,N672/M672*100)</f>
        <v>97.590361445783131</v>
      </c>
      <c r="P672" s="19"/>
      <c r="Q672" s="35"/>
      <c r="R672" s="19"/>
      <c r="S672" s="557"/>
      <c r="T672" s="2"/>
    </row>
    <row r="673" spans="1:20" s="1" customFormat="1" ht="50.25" customHeight="1" x14ac:dyDescent="0.35">
      <c r="A673" s="605"/>
      <c r="B673" s="541"/>
      <c r="C673" s="19" t="s">
        <v>118</v>
      </c>
      <c r="D673" s="41" t="s">
        <v>119</v>
      </c>
      <c r="E673" s="19" t="s">
        <v>18</v>
      </c>
      <c r="F673" s="19">
        <v>100</v>
      </c>
      <c r="G673" s="19">
        <v>100</v>
      </c>
      <c r="H673" s="24">
        <f>IF(G673/F673*100&gt;100,100,G673/F673*100)</f>
        <v>100</v>
      </c>
      <c r="I673" s="19"/>
      <c r="J673" s="129"/>
      <c r="K673" s="41"/>
      <c r="L673" s="19"/>
      <c r="M673" s="122"/>
      <c r="N673" s="122"/>
      <c r="O673" s="24"/>
      <c r="P673" s="468"/>
      <c r="Q673" s="35"/>
      <c r="R673" s="19"/>
      <c r="S673" s="557"/>
      <c r="T673" s="2"/>
    </row>
    <row r="674" spans="1:20" s="1" customFormat="1" ht="54.75" customHeight="1" x14ac:dyDescent="0.35">
      <c r="A674" s="605"/>
      <c r="B674" s="541"/>
      <c r="C674" s="19" t="s">
        <v>120</v>
      </c>
      <c r="D674" s="41" t="s">
        <v>108</v>
      </c>
      <c r="E674" s="19" t="s">
        <v>18</v>
      </c>
      <c r="F674" s="19">
        <v>100</v>
      </c>
      <c r="G674" s="19">
        <v>100</v>
      </c>
      <c r="H674" s="24">
        <f>IF(G674/F674*100&gt;100,100,G674/F674*100)</f>
        <v>100</v>
      </c>
      <c r="I674" s="19"/>
      <c r="J674" s="129"/>
      <c r="K674" s="41"/>
      <c r="L674" s="19"/>
      <c r="M674" s="122"/>
      <c r="N674" s="122"/>
      <c r="O674" s="24"/>
      <c r="P674" s="468"/>
      <c r="Q674" s="35"/>
      <c r="R674" s="19"/>
      <c r="S674" s="557"/>
      <c r="T674" s="2"/>
    </row>
    <row r="675" spans="1:20" s="1" customFormat="1" ht="69" customHeight="1" x14ac:dyDescent="0.35">
      <c r="A675" s="605"/>
      <c r="B675" s="541"/>
      <c r="C675" s="19" t="s">
        <v>121</v>
      </c>
      <c r="D675" s="41" t="s">
        <v>17</v>
      </c>
      <c r="E675" s="19" t="s">
        <v>18</v>
      </c>
      <c r="F675" s="19">
        <v>90</v>
      </c>
      <c r="G675" s="19">
        <v>90</v>
      </c>
      <c r="H675" s="24">
        <f>IF(G675/F675*100&gt;100,100,G675/F675*100)</f>
        <v>100</v>
      </c>
      <c r="I675" s="19"/>
      <c r="J675" s="129"/>
      <c r="K675" s="41"/>
      <c r="L675" s="19"/>
      <c r="M675" s="122"/>
      <c r="N675" s="122"/>
      <c r="O675" s="24"/>
      <c r="P675" s="468"/>
      <c r="Q675" s="35"/>
      <c r="R675" s="19"/>
      <c r="S675" s="557"/>
      <c r="T675" s="2"/>
    </row>
    <row r="676" spans="1:20" s="1" customFormat="1" ht="111.75" customHeight="1" x14ac:dyDescent="0.35">
      <c r="A676" s="605"/>
      <c r="B676" s="541"/>
      <c r="C676" s="19" t="s">
        <v>122</v>
      </c>
      <c r="D676" s="41" t="s">
        <v>111</v>
      </c>
      <c r="E676" s="19" t="s">
        <v>18</v>
      </c>
      <c r="F676" s="19">
        <v>100</v>
      </c>
      <c r="G676" s="19">
        <v>100</v>
      </c>
      <c r="H676" s="24">
        <f>IF(G676/F676*100&gt;100,100,G676/F676*100)</f>
        <v>100</v>
      </c>
      <c r="I676" s="19"/>
      <c r="J676" s="129"/>
      <c r="K676" s="41"/>
      <c r="L676" s="19"/>
      <c r="M676" s="122"/>
      <c r="N676" s="122"/>
      <c r="O676" s="24"/>
      <c r="P676" s="468"/>
      <c r="Q676" s="35"/>
      <c r="R676" s="19"/>
      <c r="S676" s="557"/>
      <c r="T676" s="2"/>
    </row>
    <row r="677" spans="1:20" s="1" customFormat="1" ht="40.5" customHeight="1" x14ac:dyDescent="0.35">
      <c r="A677" s="605"/>
      <c r="B677" s="541"/>
      <c r="C677" s="465"/>
      <c r="D677" s="466" t="s">
        <v>644</v>
      </c>
      <c r="E677" s="465"/>
      <c r="F677" s="20"/>
      <c r="G677" s="20"/>
      <c r="H677" s="18"/>
      <c r="I677" s="18">
        <f>(H672+H673+H674+H675+H676)/5</f>
        <v>100</v>
      </c>
      <c r="J677" s="128"/>
      <c r="K677" s="466" t="s">
        <v>644</v>
      </c>
      <c r="L677" s="20"/>
      <c r="M677" s="124"/>
      <c r="N677" s="124"/>
      <c r="O677" s="18"/>
      <c r="P677" s="18">
        <f>O672</f>
        <v>97.590361445783131</v>
      </c>
      <c r="Q677" s="18">
        <f>(I677+P677)/2</f>
        <v>98.795180722891558</v>
      </c>
      <c r="R677" s="465" t="s">
        <v>112</v>
      </c>
      <c r="S677" s="557"/>
      <c r="T677" s="2"/>
    </row>
    <row r="678" spans="1:20" s="1" customFormat="1" ht="45" customHeight="1" x14ac:dyDescent="0.35">
      <c r="A678" s="605"/>
      <c r="B678" s="541"/>
      <c r="C678" s="454" t="s">
        <v>123</v>
      </c>
      <c r="D678" s="59" t="s">
        <v>27</v>
      </c>
      <c r="E678" s="19"/>
      <c r="F678" s="19"/>
      <c r="G678" s="19"/>
      <c r="H678" s="35"/>
      <c r="I678" s="35"/>
      <c r="J678" s="454" t="s">
        <v>123</v>
      </c>
      <c r="K678" s="59" t="s">
        <v>27</v>
      </c>
      <c r="L678" s="19"/>
      <c r="M678" s="122"/>
      <c r="N678" s="122"/>
      <c r="O678" s="35"/>
      <c r="P678" s="468"/>
      <c r="Q678" s="35"/>
      <c r="R678" s="19"/>
      <c r="S678" s="557"/>
      <c r="T678" s="2"/>
    </row>
    <row r="679" spans="1:20" s="1" customFormat="1" ht="43.5" customHeight="1" x14ac:dyDescent="0.35">
      <c r="A679" s="605"/>
      <c r="B679" s="541"/>
      <c r="C679" s="19" t="s">
        <v>124</v>
      </c>
      <c r="D679" s="41" t="s">
        <v>125</v>
      </c>
      <c r="E679" s="19" t="s">
        <v>18</v>
      </c>
      <c r="F679" s="19">
        <v>100</v>
      </c>
      <c r="G679" s="19">
        <v>100</v>
      </c>
      <c r="H679" s="24">
        <f>IF(G679/F679*100&gt;100,100,G679/F679*100)</f>
        <v>100</v>
      </c>
      <c r="I679" s="19"/>
      <c r="J679" s="129" t="s">
        <v>124</v>
      </c>
      <c r="K679" s="41" t="s">
        <v>106</v>
      </c>
      <c r="L679" s="19" t="s">
        <v>20</v>
      </c>
      <c r="M679" s="19">
        <v>85</v>
      </c>
      <c r="N679" s="19">
        <v>85</v>
      </c>
      <c r="O679" s="24">
        <f>IF(N679/M679*100&gt;110,110,N679/M679*100)</f>
        <v>100</v>
      </c>
      <c r="P679" s="468"/>
      <c r="Q679" s="35"/>
      <c r="R679" s="454"/>
      <c r="S679" s="557"/>
      <c r="T679" s="2"/>
    </row>
    <row r="680" spans="1:20" s="1" customFormat="1" ht="79.5" customHeight="1" x14ac:dyDescent="0.35">
      <c r="A680" s="605"/>
      <c r="B680" s="541"/>
      <c r="C680" s="19" t="s">
        <v>127</v>
      </c>
      <c r="D680" s="41" t="s">
        <v>128</v>
      </c>
      <c r="E680" s="19" t="s">
        <v>18</v>
      </c>
      <c r="F680" s="19">
        <v>90</v>
      </c>
      <c r="G680" s="19">
        <v>90</v>
      </c>
      <c r="H680" s="24">
        <f>IF(G680/F680*100&gt;100,100,G680/F680*100)</f>
        <v>100</v>
      </c>
      <c r="I680" s="19"/>
      <c r="J680" s="129"/>
      <c r="K680" s="41"/>
      <c r="L680" s="19"/>
      <c r="M680" s="122"/>
      <c r="N680" s="122"/>
      <c r="O680" s="24"/>
      <c r="P680" s="468"/>
      <c r="Q680" s="35"/>
      <c r="R680" s="19"/>
      <c r="S680" s="557"/>
      <c r="T680" s="2"/>
    </row>
    <row r="681" spans="1:20" s="1" customFormat="1" ht="40.5" customHeight="1" x14ac:dyDescent="0.35">
      <c r="A681" s="605"/>
      <c r="B681" s="541"/>
      <c r="C681" s="465"/>
      <c r="D681" s="466" t="s">
        <v>644</v>
      </c>
      <c r="E681" s="465"/>
      <c r="F681" s="20"/>
      <c r="G681" s="20"/>
      <c r="H681" s="18"/>
      <c r="I681" s="18">
        <f>(H679+H680)/2</f>
        <v>100</v>
      </c>
      <c r="J681" s="128"/>
      <c r="K681" s="466" t="s">
        <v>644</v>
      </c>
      <c r="L681" s="20"/>
      <c r="M681" s="124"/>
      <c r="N681" s="124"/>
      <c r="O681" s="18"/>
      <c r="P681" s="18">
        <f>O679</f>
        <v>100</v>
      </c>
      <c r="Q681" s="18">
        <f>(I681+P681)/2</f>
        <v>100</v>
      </c>
      <c r="R681" s="465" t="s">
        <v>25</v>
      </c>
      <c r="S681" s="557"/>
      <c r="T681" s="2"/>
    </row>
    <row r="682" spans="1:20" s="1" customFormat="1" ht="237" customHeight="1" x14ac:dyDescent="0.35">
      <c r="A682" s="605"/>
      <c r="B682" s="541"/>
      <c r="C682" s="454" t="s">
        <v>129</v>
      </c>
      <c r="D682" s="59" t="s">
        <v>274</v>
      </c>
      <c r="E682" s="454"/>
      <c r="F682" s="454"/>
      <c r="G682" s="454"/>
      <c r="H682" s="35"/>
      <c r="I682" s="35"/>
      <c r="J682" s="454" t="s">
        <v>129</v>
      </c>
      <c r="K682" s="59" t="s">
        <v>274</v>
      </c>
      <c r="L682" s="19"/>
      <c r="M682" s="19"/>
      <c r="N682" s="19"/>
      <c r="O682" s="35"/>
      <c r="P682" s="468"/>
      <c r="Q682" s="35"/>
      <c r="R682" s="19"/>
      <c r="S682" s="557"/>
      <c r="T682" s="2"/>
    </row>
    <row r="683" spans="1:20" s="1" customFormat="1" ht="78.75" customHeight="1" x14ac:dyDescent="0.35">
      <c r="A683" s="605"/>
      <c r="B683" s="541"/>
      <c r="C683" s="19" t="s">
        <v>131</v>
      </c>
      <c r="D683" s="41" t="s">
        <v>17</v>
      </c>
      <c r="E683" s="19" t="s">
        <v>18</v>
      </c>
      <c r="F683" s="19">
        <v>90</v>
      </c>
      <c r="G683" s="19">
        <v>90</v>
      </c>
      <c r="H683" s="24">
        <f>IF(G683/F683*100&gt;100,100,G683/F683*100)</f>
        <v>100</v>
      </c>
      <c r="I683" s="19"/>
      <c r="J683" s="19" t="s">
        <v>131</v>
      </c>
      <c r="K683" s="41" t="s">
        <v>273</v>
      </c>
      <c r="L683" s="19" t="s">
        <v>41</v>
      </c>
      <c r="M683" s="19">
        <v>15</v>
      </c>
      <c r="N683" s="19">
        <v>15</v>
      </c>
      <c r="O683" s="24">
        <f>IF(N683/M683*100&gt;110,110,N683/M683*100)</f>
        <v>100</v>
      </c>
      <c r="P683" s="468"/>
      <c r="Q683" s="35"/>
      <c r="R683" s="19"/>
      <c r="S683" s="557"/>
      <c r="T683" s="2"/>
    </row>
    <row r="684" spans="1:20" s="1" customFormat="1" ht="60" customHeight="1" x14ac:dyDescent="0.35">
      <c r="A684" s="605"/>
      <c r="B684" s="541"/>
      <c r="C684" s="465"/>
      <c r="D684" s="466" t="s">
        <v>644</v>
      </c>
      <c r="E684" s="465"/>
      <c r="F684" s="20"/>
      <c r="G684" s="20"/>
      <c r="H684" s="18"/>
      <c r="I684" s="18">
        <f>H683</f>
        <v>100</v>
      </c>
      <c r="J684" s="128"/>
      <c r="K684" s="466" t="s">
        <v>644</v>
      </c>
      <c r="L684" s="20"/>
      <c r="M684" s="124"/>
      <c r="N684" s="124"/>
      <c r="O684" s="18"/>
      <c r="P684" s="18">
        <f>O683</f>
        <v>100</v>
      </c>
      <c r="Q684" s="18">
        <f>(I684+P684)/2</f>
        <v>100</v>
      </c>
      <c r="R684" s="465" t="s">
        <v>25</v>
      </c>
      <c r="S684" s="557"/>
      <c r="T684" s="2"/>
    </row>
    <row r="685" spans="1:20" s="1" customFormat="1" ht="49.5" customHeight="1" x14ac:dyDescent="0.35">
      <c r="A685" s="605"/>
      <c r="B685" s="541"/>
      <c r="C685" s="454" t="s">
        <v>140</v>
      </c>
      <c r="D685" s="59" t="s">
        <v>130</v>
      </c>
      <c r="E685" s="19"/>
      <c r="F685" s="19"/>
      <c r="G685" s="19"/>
      <c r="H685" s="35"/>
      <c r="I685" s="35"/>
      <c r="J685" s="454" t="s">
        <v>140</v>
      </c>
      <c r="K685" s="59" t="str">
        <f>D685</f>
        <v>Реализация дополнительных общеразвивающих программ</v>
      </c>
      <c r="L685" s="19"/>
      <c r="M685" s="122"/>
      <c r="N685" s="122"/>
      <c r="O685" s="35"/>
      <c r="P685" s="468"/>
      <c r="Q685" s="35"/>
      <c r="R685" s="19"/>
      <c r="S685" s="557"/>
      <c r="T685" s="2"/>
    </row>
    <row r="686" spans="1:20" s="1" customFormat="1" ht="74.25" customHeight="1" x14ac:dyDescent="0.35">
      <c r="A686" s="605"/>
      <c r="B686" s="541"/>
      <c r="C686" s="19" t="s">
        <v>142</v>
      </c>
      <c r="D686" s="41" t="s">
        <v>128</v>
      </c>
      <c r="E686" s="19" t="s">
        <v>18</v>
      </c>
      <c r="F686" s="19">
        <v>90</v>
      </c>
      <c r="G686" s="19">
        <v>90</v>
      </c>
      <c r="H686" s="24">
        <f>IF(G686/F686*100&gt;100,100,G686/F686*100)</f>
        <v>100</v>
      </c>
      <c r="I686" s="19"/>
      <c r="J686" s="129" t="s">
        <v>142</v>
      </c>
      <c r="K686" s="41" t="s">
        <v>136</v>
      </c>
      <c r="L686" s="19" t="s">
        <v>133</v>
      </c>
      <c r="M686" s="19">
        <v>64056</v>
      </c>
      <c r="N686" s="19">
        <v>68676</v>
      </c>
      <c r="O686" s="24">
        <f>IF(N686/M686*100&gt;110,110,N686/M686*100)</f>
        <v>107.21243911577369</v>
      </c>
      <c r="P686" s="468"/>
      <c r="Q686" s="35"/>
      <c r="R686" s="19"/>
      <c r="S686" s="557"/>
      <c r="T686" s="2"/>
    </row>
    <row r="687" spans="1:20" s="1" customFormat="1" ht="39" customHeight="1" x14ac:dyDescent="0.35">
      <c r="A687" s="605"/>
      <c r="B687" s="541"/>
      <c r="C687" s="465"/>
      <c r="D687" s="466" t="s">
        <v>644</v>
      </c>
      <c r="E687" s="465"/>
      <c r="F687" s="20"/>
      <c r="G687" s="20"/>
      <c r="H687" s="18"/>
      <c r="I687" s="18">
        <f>H686</f>
        <v>100</v>
      </c>
      <c r="J687" s="128"/>
      <c r="K687" s="466" t="s">
        <v>644</v>
      </c>
      <c r="L687" s="20"/>
      <c r="M687" s="124"/>
      <c r="N687" s="124"/>
      <c r="O687" s="18"/>
      <c r="P687" s="18">
        <f>O686</f>
        <v>107.21243911577369</v>
      </c>
      <c r="Q687" s="18">
        <f>(I687+P687)/2</f>
        <v>103.60621955788685</v>
      </c>
      <c r="R687" s="465" t="s">
        <v>25</v>
      </c>
      <c r="S687" s="557"/>
      <c r="T687" s="2"/>
    </row>
    <row r="688" spans="1:20" s="1" customFormat="1" ht="66.75" customHeight="1" x14ac:dyDescent="0.35">
      <c r="A688" s="605">
        <v>42</v>
      </c>
      <c r="B688" s="541" t="s">
        <v>154</v>
      </c>
      <c r="C688" s="454" t="s">
        <v>13</v>
      </c>
      <c r="D688" s="59" t="s">
        <v>103</v>
      </c>
      <c r="E688" s="454"/>
      <c r="F688" s="454"/>
      <c r="G688" s="454"/>
      <c r="H688" s="35"/>
      <c r="I688" s="35"/>
      <c r="J688" s="454" t="s">
        <v>13</v>
      </c>
      <c r="K688" s="59" t="s">
        <v>103</v>
      </c>
      <c r="L688" s="19"/>
      <c r="M688" s="19"/>
      <c r="N688" s="19"/>
      <c r="O688" s="35"/>
      <c r="P688" s="468"/>
      <c r="Q688" s="35"/>
      <c r="R688" s="19"/>
      <c r="S688" s="557" t="s">
        <v>104</v>
      </c>
      <c r="T688" s="2"/>
    </row>
    <row r="689" spans="1:20" s="1" customFormat="1" ht="66.75" customHeight="1" x14ac:dyDescent="0.35">
      <c r="A689" s="605"/>
      <c r="B689" s="541"/>
      <c r="C689" s="19" t="s">
        <v>16</v>
      </c>
      <c r="D689" s="41" t="s">
        <v>105</v>
      </c>
      <c r="E689" s="19" t="s">
        <v>18</v>
      </c>
      <c r="F689" s="19">
        <v>100</v>
      </c>
      <c r="G689" s="19">
        <v>100</v>
      </c>
      <c r="H689" s="24">
        <f>IF(G689/F689*100&gt;100,100,G689/F689*100)</f>
        <v>100</v>
      </c>
      <c r="I689" s="19"/>
      <c r="J689" s="19" t="s">
        <v>16</v>
      </c>
      <c r="K689" s="41" t="s">
        <v>106</v>
      </c>
      <c r="L689" s="19" t="s">
        <v>20</v>
      </c>
      <c r="M689" s="19">
        <v>166</v>
      </c>
      <c r="N689" s="19">
        <v>163</v>
      </c>
      <c r="O689" s="24">
        <f>IF(N689/M689*100&gt;110,110,N689/M689*100)</f>
        <v>98.192771084337352</v>
      </c>
      <c r="P689" s="468"/>
      <c r="Q689" s="35"/>
      <c r="R689" s="19"/>
      <c r="S689" s="557"/>
      <c r="T689" s="2"/>
    </row>
    <row r="690" spans="1:20" s="1" customFormat="1" ht="39.75" customHeight="1" x14ac:dyDescent="0.35">
      <c r="A690" s="605"/>
      <c r="B690" s="541"/>
      <c r="C690" s="19" t="s">
        <v>21</v>
      </c>
      <c r="D690" s="41" t="s">
        <v>135</v>
      </c>
      <c r="E690" s="19" t="s">
        <v>18</v>
      </c>
      <c r="F690" s="19">
        <v>100</v>
      </c>
      <c r="G690" s="19">
        <v>100</v>
      </c>
      <c r="H690" s="24">
        <f>IF(G690/F690*100&gt;100,100,G690/F690*100)</f>
        <v>100</v>
      </c>
      <c r="I690" s="19"/>
      <c r="J690" s="19"/>
      <c r="K690" s="455"/>
      <c r="L690" s="19"/>
      <c r="M690" s="476"/>
      <c r="N690" s="476"/>
      <c r="O690" s="24"/>
      <c r="P690" s="468"/>
      <c r="Q690" s="35"/>
      <c r="R690" s="19"/>
      <c r="S690" s="557"/>
      <c r="T690" s="2"/>
    </row>
    <row r="691" spans="1:20" s="1" customFormat="1" ht="47.25" customHeight="1" x14ac:dyDescent="0.35">
      <c r="A691" s="605"/>
      <c r="B691" s="541"/>
      <c r="C691" s="19" t="s">
        <v>23</v>
      </c>
      <c r="D691" s="41" t="s">
        <v>108</v>
      </c>
      <c r="E691" s="19" t="s">
        <v>18</v>
      </c>
      <c r="F691" s="19">
        <v>100</v>
      </c>
      <c r="G691" s="19">
        <v>100</v>
      </c>
      <c r="H691" s="24">
        <f>IF(G691/F691*100&gt;100,100,G691/F691*100)</f>
        <v>100</v>
      </c>
      <c r="I691" s="19"/>
      <c r="J691" s="129"/>
      <c r="K691" s="41"/>
      <c r="L691" s="19"/>
      <c r="M691" s="122"/>
      <c r="N691" s="122"/>
      <c r="O691" s="24"/>
      <c r="P691" s="468"/>
      <c r="Q691" s="35"/>
      <c r="R691" s="19"/>
      <c r="S691" s="557"/>
      <c r="T691" s="2"/>
    </row>
    <row r="692" spans="1:20" s="1" customFormat="1" ht="64.5" customHeight="1" x14ac:dyDescent="0.35">
      <c r="A692" s="605"/>
      <c r="B692" s="541"/>
      <c r="C692" s="19" t="s">
        <v>109</v>
      </c>
      <c r="D692" s="41" t="s">
        <v>17</v>
      </c>
      <c r="E692" s="19" t="s">
        <v>18</v>
      </c>
      <c r="F692" s="19">
        <v>90</v>
      </c>
      <c r="G692" s="19">
        <v>100</v>
      </c>
      <c r="H692" s="24">
        <f>IF(G692/F692*100&gt;100,100,G692/F692*100)</f>
        <v>100</v>
      </c>
      <c r="I692" s="19"/>
      <c r="J692" s="129"/>
      <c r="K692" s="41"/>
      <c r="L692" s="19"/>
      <c r="M692" s="122"/>
      <c r="N692" s="122"/>
      <c r="O692" s="24"/>
      <c r="P692" s="468"/>
      <c r="Q692" s="35"/>
      <c r="R692" s="19"/>
      <c r="S692" s="557"/>
      <c r="T692" s="2"/>
    </row>
    <row r="693" spans="1:20" s="1" customFormat="1" ht="119.25" customHeight="1" x14ac:dyDescent="0.35">
      <c r="A693" s="605"/>
      <c r="B693" s="541"/>
      <c r="C693" s="19" t="s">
        <v>110</v>
      </c>
      <c r="D693" s="41" t="s">
        <v>111</v>
      </c>
      <c r="E693" s="19" t="s">
        <v>18</v>
      </c>
      <c r="F693" s="19">
        <v>100</v>
      </c>
      <c r="G693" s="19">
        <v>100</v>
      </c>
      <c r="H693" s="24">
        <f>IF(G693/F693*100&gt;100,100,G693/F693*100)</f>
        <v>100</v>
      </c>
      <c r="I693" s="19"/>
      <c r="J693" s="129"/>
      <c r="K693" s="41"/>
      <c r="L693" s="19"/>
      <c r="M693" s="122"/>
      <c r="N693" s="122"/>
      <c r="O693" s="24"/>
      <c r="P693" s="468"/>
      <c r="Q693" s="35"/>
      <c r="R693" s="19"/>
      <c r="S693" s="557"/>
      <c r="T693" s="2"/>
    </row>
    <row r="694" spans="1:20" s="1" customFormat="1" ht="40.5" customHeight="1" x14ac:dyDescent="0.35">
      <c r="A694" s="605"/>
      <c r="B694" s="541"/>
      <c r="C694" s="465"/>
      <c r="D694" s="466" t="s">
        <v>644</v>
      </c>
      <c r="E694" s="465"/>
      <c r="F694" s="20"/>
      <c r="G694" s="20"/>
      <c r="H694" s="18"/>
      <c r="I694" s="18">
        <f>(H689+H690+H691+H692+H693)/5</f>
        <v>100</v>
      </c>
      <c r="J694" s="128"/>
      <c r="K694" s="466" t="s">
        <v>644</v>
      </c>
      <c r="L694" s="20"/>
      <c r="M694" s="124"/>
      <c r="N694" s="124"/>
      <c r="O694" s="18"/>
      <c r="P694" s="18">
        <f>O689</f>
        <v>98.192771084337352</v>
      </c>
      <c r="Q694" s="18">
        <f>(I694+P694)/2</f>
        <v>99.096385542168676</v>
      </c>
      <c r="R694" s="465" t="s">
        <v>112</v>
      </c>
      <c r="S694" s="557"/>
      <c r="T694" s="2"/>
    </row>
    <row r="695" spans="1:20" s="1" customFormat="1" ht="72.75" customHeight="1" x14ac:dyDescent="0.35">
      <c r="A695" s="605"/>
      <c r="B695" s="541"/>
      <c r="C695" s="454" t="s">
        <v>26</v>
      </c>
      <c r="D695" s="59" t="s">
        <v>113</v>
      </c>
      <c r="E695" s="19"/>
      <c r="F695" s="19"/>
      <c r="G695" s="19"/>
      <c r="H695" s="35"/>
      <c r="I695" s="35"/>
      <c r="J695" s="454" t="s">
        <v>26</v>
      </c>
      <c r="K695" s="59" t="s">
        <v>113</v>
      </c>
      <c r="L695" s="19"/>
      <c r="M695" s="122"/>
      <c r="N695" s="122"/>
      <c r="O695" s="35"/>
      <c r="P695" s="468"/>
      <c r="Q695" s="35"/>
      <c r="R695" s="19"/>
      <c r="S695" s="557"/>
      <c r="T695" s="2"/>
    </row>
    <row r="696" spans="1:20" s="1" customFormat="1" ht="63.75" customHeight="1" x14ac:dyDescent="0.35">
      <c r="A696" s="605"/>
      <c r="B696" s="541"/>
      <c r="C696" s="19" t="s">
        <v>28</v>
      </c>
      <c r="D696" s="41" t="s">
        <v>114</v>
      </c>
      <c r="E696" s="19" t="s">
        <v>18</v>
      </c>
      <c r="F696" s="19">
        <v>100</v>
      </c>
      <c r="G696" s="19">
        <v>100</v>
      </c>
      <c r="H696" s="24">
        <f>IF(G696/F696*100&gt;100,100,G696/F696*100)</f>
        <v>100</v>
      </c>
      <c r="I696" s="19"/>
      <c r="J696" s="129" t="s">
        <v>28</v>
      </c>
      <c r="K696" s="41" t="s">
        <v>106</v>
      </c>
      <c r="L696" s="19" t="s">
        <v>20</v>
      </c>
      <c r="M696" s="19">
        <v>258</v>
      </c>
      <c r="N696" s="19">
        <v>261</v>
      </c>
      <c r="O696" s="24">
        <f>IF(N696/M696*100&gt;110,110,N696/M696*100)</f>
        <v>101.16279069767442</v>
      </c>
      <c r="P696" s="19"/>
      <c r="Q696" s="35"/>
      <c r="R696" s="19"/>
      <c r="S696" s="557"/>
      <c r="T696" s="2"/>
    </row>
    <row r="697" spans="1:20" s="1" customFormat="1" ht="45.75" customHeight="1" x14ac:dyDescent="0.35">
      <c r="A697" s="605"/>
      <c r="B697" s="541"/>
      <c r="C697" s="19" t="s">
        <v>30</v>
      </c>
      <c r="D697" s="41" t="s">
        <v>115</v>
      </c>
      <c r="E697" s="19" t="s">
        <v>18</v>
      </c>
      <c r="F697" s="19">
        <v>100</v>
      </c>
      <c r="G697" s="19">
        <v>100</v>
      </c>
      <c r="H697" s="24">
        <f>IF(G697/F697*100&gt;100,100,G697/F697*100)</f>
        <v>100</v>
      </c>
      <c r="I697" s="19"/>
      <c r="J697" s="129"/>
      <c r="K697" s="41"/>
      <c r="L697" s="19"/>
      <c r="M697" s="122"/>
      <c r="N697" s="122"/>
      <c r="O697" s="24"/>
      <c r="P697" s="468"/>
      <c r="Q697" s="35"/>
      <c r="R697" s="19"/>
      <c r="S697" s="557"/>
      <c r="T697" s="2"/>
    </row>
    <row r="698" spans="1:20" s="1" customFormat="1" ht="54" customHeight="1" x14ac:dyDescent="0.35">
      <c r="A698" s="605"/>
      <c r="B698" s="541"/>
      <c r="C698" s="19" t="s">
        <v>34</v>
      </c>
      <c r="D698" s="41" t="s">
        <v>108</v>
      </c>
      <c r="E698" s="19" t="s">
        <v>18</v>
      </c>
      <c r="F698" s="19">
        <v>100</v>
      </c>
      <c r="G698" s="19">
        <v>100</v>
      </c>
      <c r="H698" s="24">
        <f>IF(G698/F698*100&gt;100,100,G698/F698*100)</f>
        <v>100</v>
      </c>
      <c r="I698" s="19"/>
      <c r="J698" s="129"/>
      <c r="K698" s="41"/>
      <c r="L698" s="19"/>
      <c r="M698" s="122"/>
      <c r="N698" s="122"/>
      <c r="O698" s="24"/>
      <c r="P698" s="468"/>
      <c r="Q698" s="35"/>
      <c r="R698" s="19"/>
      <c r="S698" s="557"/>
      <c r="T698" s="2"/>
    </row>
    <row r="699" spans="1:20" s="1" customFormat="1" ht="63.75" customHeight="1" x14ac:dyDescent="0.35">
      <c r="A699" s="605"/>
      <c r="B699" s="541"/>
      <c r="C699" s="19" t="s">
        <v>78</v>
      </c>
      <c r="D699" s="41" t="s">
        <v>17</v>
      </c>
      <c r="E699" s="19" t="s">
        <v>18</v>
      </c>
      <c r="F699" s="19">
        <v>90</v>
      </c>
      <c r="G699" s="19">
        <v>100</v>
      </c>
      <c r="H699" s="24">
        <f>IF(G699/F699*100&gt;100,100,G699/F699*100)</f>
        <v>100</v>
      </c>
      <c r="I699" s="19"/>
      <c r="J699" s="129"/>
      <c r="K699" s="41"/>
      <c r="L699" s="19"/>
      <c r="M699" s="122"/>
      <c r="N699" s="122"/>
      <c r="O699" s="24"/>
      <c r="P699" s="468"/>
      <c r="Q699" s="35"/>
      <c r="R699" s="19"/>
      <c r="S699" s="557"/>
      <c r="T699" s="2"/>
    </row>
    <row r="700" spans="1:20" s="1" customFormat="1" ht="120" customHeight="1" x14ac:dyDescent="0.35">
      <c r="A700" s="605"/>
      <c r="B700" s="541"/>
      <c r="C700" s="19" t="s">
        <v>79</v>
      </c>
      <c r="D700" s="41" t="s">
        <v>111</v>
      </c>
      <c r="E700" s="19" t="s">
        <v>18</v>
      </c>
      <c r="F700" s="19">
        <v>100</v>
      </c>
      <c r="G700" s="19">
        <v>100</v>
      </c>
      <c r="H700" s="24">
        <f>IF(G700/F700*100&gt;100,100,G700/F700*100)</f>
        <v>100</v>
      </c>
      <c r="I700" s="19"/>
      <c r="J700" s="129"/>
      <c r="K700" s="41"/>
      <c r="L700" s="19"/>
      <c r="M700" s="122"/>
      <c r="N700" s="122"/>
      <c r="O700" s="24"/>
      <c r="P700" s="468"/>
      <c r="Q700" s="35"/>
      <c r="R700" s="19"/>
      <c r="S700" s="557"/>
      <c r="T700" s="2"/>
    </row>
    <row r="701" spans="1:20" s="1" customFormat="1" ht="40.5" customHeight="1" x14ac:dyDescent="0.35">
      <c r="A701" s="605"/>
      <c r="B701" s="541"/>
      <c r="C701" s="465"/>
      <c r="D701" s="466" t="s">
        <v>644</v>
      </c>
      <c r="E701" s="465"/>
      <c r="F701" s="20"/>
      <c r="G701" s="20"/>
      <c r="H701" s="18"/>
      <c r="I701" s="18">
        <f>(H696+H697+H698+H699+H700)/5</f>
        <v>100</v>
      </c>
      <c r="J701" s="128"/>
      <c r="K701" s="466" t="s">
        <v>644</v>
      </c>
      <c r="L701" s="20"/>
      <c r="M701" s="124"/>
      <c r="N701" s="124"/>
      <c r="O701" s="18"/>
      <c r="P701" s="18">
        <f>O696</f>
        <v>101.16279069767442</v>
      </c>
      <c r="Q701" s="18">
        <f>(I701+P701)/2</f>
        <v>100.58139534883722</v>
      </c>
      <c r="R701" s="465" t="s">
        <v>25</v>
      </c>
      <c r="S701" s="557"/>
      <c r="T701" s="2"/>
    </row>
    <row r="702" spans="1:20" s="1" customFormat="1" ht="76.5" customHeight="1" x14ac:dyDescent="0.35">
      <c r="A702" s="605"/>
      <c r="B702" s="541"/>
      <c r="C702" s="454" t="s">
        <v>36</v>
      </c>
      <c r="D702" s="59" t="s">
        <v>116</v>
      </c>
      <c r="E702" s="19"/>
      <c r="F702" s="19"/>
      <c r="G702" s="19"/>
      <c r="H702" s="35"/>
      <c r="I702" s="35"/>
      <c r="J702" s="454" t="s">
        <v>36</v>
      </c>
      <c r="K702" s="59" t="str">
        <f>D702</f>
        <v>Реализация основных общеобразовательных программ среднего общего образования</v>
      </c>
      <c r="L702" s="19"/>
      <c r="M702" s="122"/>
      <c r="N702" s="122"/>
      <c r="O702" s="35"/>
      <c r="P702" s="468"/>
      <c r="Q702" s="35"/>
      <c r="R702" s="19"/>
      <c r="S702" s="557"/>
      <c r="T702" s="2"/>
    </row>
    <row r="703" spans="1:20" s="1" customFormat="1" ht="68.25" customHeight="1" x14ac:dyDescent="0.35">
      <c r="A703" s="605"/>
      <c r="B703" s="541"/>
      <c r="C703" s="19" t="s">
        <v>38</v>
      </c>
      <c r="D703" s="41" t="s">
        <v>117</v>
      </c>
      <c r="E703" s="19" t="s">
        <v>18</v>
      </c>
      <c r="F703" s="19">
        <v>100</v>
      </c>
      <c r="G703" s="19">
        <v>100</v>
      </c>
      <c r="H703" s="24">
        <f>IF(G703/F703*100&gt;100,100,G703/F703*100)</f>
        <v>100</v>
      </c>
      <c r="I703" s="19"/>
      <c r="J703" s="129" t="s">
        <v>38</v>
      </c>
      <c r="K703" s="41" t="s">
        <v>106</v>
      </c>
      <c r="L703" s="19" t="s">
        <v>20</v>
      </c>
      <c r="M703" s="19">
        <v>55</v>
      </c>
      <c r="N703" s="19">
        <v>55</v>
      </c>
      <c r="O703" s="24">
        <f>IF(N703/M703*100&gt;110,110,N703/M703*100)</f>
        <v>100</v>
      </c>
      <c r="P703" s="19"/>
      <c r="Q703" s="35"/>
      <c r="R703" s="19"/>
      <c r="S703" s="557"/>
      <c r="T703" s="2"/>
    </row>
    <row r="704" spans="1:20" s="1" customFormat="1" ht="49.5" customHeight="1" x14ac:dyDescent="0.35">
      <c r="A704" s="605"/>
      <c r="B704" s="541"/>
      <c r="C704" s="19" t="s">
        <v>118</v>
      </c>
      <c r="D704" s="41" t="s">
        <v>119</v>
      </c>
      <c r="E704" s="19" t="s">
        <v>18</v>
      </c>
      <c r="F704" s="19">
        <v>100</v>
      </c>
      <c r="G704" s="19">
        <v>100</v>
      </c>
      <c r="H704" s="24">
        <f>IF(G704/F704*100&gt;100,100,G704/F704*100)</f>
        <v>100</v>
      </c>
      <c r="I704" s="19"/>
      <c r="J704" s="129"/>
      <c r="K704" s="41"/>
      <c r="L704" s="19"/>
      <c r="M704" s="122"/>
      <c r="N704" s="122"/>
      <c r="O704" s="24"/>
      <c r="P704" s="468"/>
      <c r="Q704" s="35"/>
      <c r="R704" s="19"/>
      <c r="S704" s="557"/>
      <c r="T704" s="2"/>
    </row>
    <row r="705" spans="1:20" s="1" customFormat="1" ht="66" customHeight="1" x14ac:dyDescent="0.35">
      <c r="A705" s="605"/>
      <c r="B705" s="541"/>
      <c r="C705" s="19" t="s">
        <v>120</v>
      </c>
      <c r="D705" s="41" t="s">
        <v>108</v>
      </c>
      <c r="E705" s="19" t="s">
        <v>18</v>
      </c>
      <c r="F705" s="19">
        <v>100</v>
      </c>
      <c r="G705" s="19">
        <v>100</v>
      </c>
      <c r="H705" s="24">
        <f>IF(G705/F705*100&gt;100,100,G705/F705*100)</f>
        <v>100</v>
      </c>
      <c r="I705" s="19"/>
      <c r="J705" s="129"/>
      <c r="K705" s="41"/>
      <c r="L705" s="19"/>
      <c r="M705" s="122"/>
      <c r="N705" s="122"/>
      <c r="O705" s="24"/>
      <c r="P705" s="468"/>
      <c r="Q705" s="35"/>
      <c r="R705" s="19"/>
      <c r="S705" s="557"/>
      <c r="T705" s="2"/>
    </row>
    <row r="706" spans="1:20" s="1" customFormat="1" ht="69.75" customHeight="1" x14ac:dyDescent="0.35">
      <c r="A706" s="605"/>
      <c r="B706" s="541"/>
      <c r="C706" s="19" t="s">
        <v>121</v>
      </c>
      <c r="D706" s="41" t="s">
        <v>17</v>
      </c>
      <c r="E706" s="19" t="s">
        <v>18</v>
      </c>
      <c r="F706" s="19">
        <v>90</v>
      </c>
      <c r="G706" s="19">
        <v>100</v>
      </c>
      <c r="H706" s="24">
        <f>IF(G706/F706*100&gt;100,100,G706/F706*100)</f>
        <v>100</v>
      </c>
      <c r="I706" s="19"/>
      <c r="J706" s="129"/>
      <c r="K706" s="41"/>
      <c r="L706" s="19"/>
      <c r="M706" s="122"/>
      <c r="N706" s="122"/>
      <c r="O706" s="24"/>
      <c r="P706" s="468"/>
      <c r="Q706" s="35"/>
      <c r="R706" s="19"/>
      <c r="S706" s="557"/>
      <c r="T706" s="2"/>
    </row>
    <row r="707" spans="1:20" s="1" customFormat="1" ht="122.25" customHeight="1" x14ac:dyDescent="0.35">
      <c r="A707" s="605"/>
      <c r="B707" s="541"/>
      <c r="C707" s="19" t="s">
        <v>122</v>
      </c>
      <c r="D707" s="41" t="s">
        <v>111</v>
      </c>
      <c r="E707" s="19" t="s">
        <v>18</v>
      </c>
      <c r="F707" s="19">
        <v>100</v>
      </c>
      <c r="G707" s="19">
        <v>100</v>
      </c>
      <c r="H707" s="24">
        <f>IF(G707/F707*100&gt;100,100,G707/F707*100)</f>
        <v>100</v>
      </c>
      <c r="I707" s="19"/>
      <c r="J707" s="129"/>
      <c r="K707" s="41"/>
      <c r="L707" s="19"/>
      <c r="M707" s="122"/>
      <c r="N707" s="122"/>
      <c r="O707" s="24"/>
      <c r="P707" s="468"/>
      <c r="Q707" s="35"/>
      <c r="R707" s="19"/>
      <c r="S707" s="557"/>
      <c r="T707" s="2"/>
    </row>
    <row r="708" spans="1:20" s="1" customFormat="1" ht="40.5" customHeight="1" x14ac:dyDescent="0.35">
      <c r="A708" s="605"/>
      <c r="B708" s="541"/>
      <c r="C708" s="465"/>
      <c r="D708" s="466" t="s">
        <v>644</v>
      </c>
      <c r="E708" s="465"/>
      <c r="F708" s="20"/>
      <c r="G708" s="20"/>
      <c r="H708" s="18"/>
      <c r="I708" s="18">
        <f>(H703+H704+H705+H706+H707)/5</f>
        <v>100</v>
      </c>
      <c r="J708" s="128"/>
      <c r="K708" s="466" t="s">
        <v>644</v>
      </c>
      <c r="L708" s="20"/>
      <c r="M708" s="124"/>
      <c r="N708" s="124"/>
      <c r="O708" s="18"/>
      <c r="P708" s="18">
        <f>O703</f>
        <v>100</v>
      </c>
      <c r="Q708" s="18">
        <f>(I708+P708)/2</f>
        <v>100</v>
      </c>
      <c r="R708" s="465" t="s">
        <v>25</v>
      </c>
      <c r="S708" s="557"/>
      <c r="T708" s="2"/>
    </row>
    <row r="709" spans="1:20" s="1" customFormat="1" ht="41.25" customHeight="1" x14ac:dyDescent="0.35">
      <c r="A709" s="605"/>
      <c r="B709" s="541"/>
      <c r="C709" s="454" t="s">
        <v>123</v>
      </c>
      <c r="D709" s="59" t="s">
        <v>27</v>
      </c>
      <c r="E709" s="19"/>
      <c r="F709" s="19"/>
      <c r="G709" s="19"/>
      <c r="H709" s="35"/>
      <c r="I709" s="35"/>
      <c r="J709" s="454" t="s">
        <v>123</v>
      </c>
      <c r="K709" s="59" t="s">
        <v>27</v>
      </c>
      <c r="L709" s="19"/>
      <c r="M709" s="122"/>
      <c r="N709" s="122"/>
      <c r="O709" s="35"/>
      <c r="P709" s="468"/>
      <c r="Q709" s="35"/>
      <c r="R709" s="19"/>
      <c r="S709" s="557"/>
      <c r="T709" s="2"/>
    </row>
    <row r="710" spans="1:20" s="1" customFormat="1" ht="57.75" customHeight="1" x14ac:dyDescent="0.35">
      <c r="A710" s="605"/>
      <c r="B710" s="541"/>
      <c r="C710" s="19" t="s">
        <v>124</v>
      </c>
      <c r="D710" s="41" t="s">
        <v>125</v>
      </c>
      <c r="E710" s="19" t="s">
        <v>18</v>
      </c>
      <c r="F710" s="19">
        <v>100</v>
      </c>
      <c r="G710" s="19">
        <v>100</v>
      </c>
      <c r="H710" s="24">
        <f>IF(G710/F710*100&gt;100,100,G710/F710*100)</f>
        <v>100</v>
      </c>
      <c r="I710" s="19"/>
      <c r="J710" s="129" t="s">
        <v>124</v>
      </c>
      <c r="K710" s="41" t="s">
        <v>106</v>
      </c>
      <c r="L710" s="19" t="s">
        <v>20</v>
      </c>
      <c r="M710" s="19">
        <v>50</v>
      </c>
      <c r="N710" s="19">
        <v>50</v>
      </c>
      <c r="O710" s="24">
        <f>IF(N710/M710*100&gt;110,110,N710/M710*100)</f>
        <v>100</v>
      </c>
      <c r="P710" s="468"/>
      <c r="Q710" s="35"/>
      <c r="R710" s="19"/>
      <c r="S710" s="557"/>
      <c r="T710" s="2"/>
    </row>
    <row r="711" spans="1:20" s="1" customFormat="1" ht="84.75" customHeight="1" x14ac:dyDescent="0.35">
      <c r="A711" s="605"/>
      <c r="B711" s="541"/>
      <c r="C711" s="19" t="s">
        <v>127</v>
      </c>
      <c r="D711" s="41" t="s">
        <v>128</v>
      </c>
      <c r="E711" s="19" t="s">
        <v>18</v>
      </c>
      <c r="F711" s="19">
        <v>90</v>
      </c>
      <c r="G711" s="19">
        <v>90</v>
      </c>
      <c r="H711" s="24">
        <f>IF(G711/F711*100&gt;100,100,G711/F711*100)</f>
        <v>100</v>
      </c>
      <c r="I711" s="19"/>
      <c r="J711" s="129"/>
      <c r="K711" s="41"/>
      <c r="L711" s="19"/>
      <c r="M711" s="122"/>
      <c r="N711" s="122"/>
      <c r="O711" s="24"/>
      <c r="P711" s="468"/>
      <c r="Q711" s="35"/>
      <c r="R711" s="19"/>
      <c r="S711" s="557"/>
      <c r="T711" s="2"/>
    </row>
    <row r="712" spans="1:20" s="1" customFormat="1" ht="40.5" customHeight="1" x14ac:dyDescent="0.35">
      <c r="A712" s="605"/>
      <c r="B712" s="541"/>
      <c r="C712" s="465"/>
      <c r="D712" s="466" t="s">
        <v>644</v>
      </c>
      <c r="E712" s="465"/>
      <c r="F712" s="20"/>
      <c r="G712" s="20"/>
      <c r="H712" s="18"/>
      <c r="I712" s="18">
        <f>(H710+H711)/2</f>
        <v>100</v>
      </c>
      <c r="J712" s="128"/>
      <c r="K712" s="466" t="s">
        <v>644</v>
      </c>
      <c r="L712" s="20"/>
      <c r="M712" s="124"/>
      <c r="N712" s="124"/>
      <c r="O712" s="18"/>
      <c r="P712" s="18">
        <f>O710</f>
        <v>100</v>
      </c>
      <c r="Q712" s="18">
        <f>(I712+P712)/2</f>
        <v>100</v>
      </c>
      <c r="R712" s="465" t="s">
        <v>25</v>
      </c>
      <c r="S712" s="557"/>
      <c r="T712" s="2"/>
    </row>
    <row r="713" spans="1:20" s="1" customFormat="1" ht="49.5" customHeight="1" x14ac:dyDescent="0.35">
      <c r="A713" s="605"/>
      <c r="B713" s="541"/>
      <c r="C713" s="454" t="s">
        <v>129</v>
      </c>
      <c r="D713" s="59" t="s">
        <v>130</v>
      </c>
      <c r="E713" s="19"/>
      <c r="F713" s="19"/>
      <c r="G713" s="19"/>
      <c r="H713" s="35"/>
      <c r="I713" s="35"/>
      <c r="J713" s="454" t="s">
        <v>129</v>
      </c>
      <c r="K713" s="59" t="str">
        <f>D713</f>
        <v>Реализация дополнительных общеразвивающих программ</v>
      </c>
      <c r="L713" s="19"/>
      <c r="M713" s="122"/>
      <c r="N713" s="122"/>
      <c r="O713" s="35"/>
      <c r="P713" s="468"/>
      <c r="Q713" s="35"/>
      <c r="R713" s="19"/>
      <c r="S713" s="557"/>
      <c r="T713" s="2"/>
    </row>
    <row r="714" spans="1:20" s="1" customFormat="1" ht="81.75" customHeight="1" x14ac:dyDescent="0.35">
      <c r="A714" s="605"/>
      <c r="B714" s="541"/>
      <c r="C714" s="19" t="s">
        <v>131</v>
      </c>
      <c r="D714" s="41" t="s">
        <v>128</v>
      </c>
      <c r="E714" s="19" t="s">
        <v>18</v>
      </c>
      <c r="F714" s="19">
        <v>90</v>
      </c>
      <c r="G714" s="19">
        <v>90</v>
      </c>
      <c r="H714" s="24">
        <f>IF(G714/F714*100&gt;100,100,G714/F714*100)</f>
        <v>100</v>
      </c>
      <c r="I714" s="19"/>
      <c r="J714" s="129" t="s">
        <v>131</v>
      </c>
      <c r="K714" s="41" t="s">
        <v>136</v>
      </c>
      <c r="L714" s="19" t="s">
        <v>133</v>
      </c>
      <c r="M714" s="19">
        <v>45946</v>
      </c>
      <c r="N714" s="19">
        <v>45946</v>
      </c>
      <c r="O714" s="24">
        <f>IF(N714/M714*100&gt;110,110,N714/M714*100)</f>
        <v>100</v>
      </c>
      <c r="P714" s="468"/>
      <c r="Q714" s="35"/>
      <c r="R714" s="19"/>
      <c r="S714" s="557"/>
      <c r="T714" s="2"/>
    </row>
    <row r="715" spans="1:20" s="1" customFormat="1" ht="39" customHeight="1" x14ac:dyDescent="0.35">
      <c r="A715" s="605"/>
      <c r="B715" s="541"/>
      <c r="C715" s="465"/>
      <c r="D715" s="466" t="s">
        <v>644</v>
      </c>
      <c r="E715" s="465"/>
      <c r="F715" s="20"/>
      <c r="G715" s="20"/>
      <c r="H715" s="18"/>
      <c r="I715" s="18">
        <f>H714</f>
        <v>100</v>
      </c>
      <c r="J715" s="128"/>
      <c r="K715" s="466" t="s">
        <v>644</v>
      </c>
      <c r="L715" s="20"/>
      <c r="M715" s="124"/>
      <c r="N715" s="124"/>
      <c r="O715" s="18"/>
      <c r="P715" s="18">
        <f>O714</f>
        <v>100</v>
      </c>
      <c r="Q715" s="18">
        <f>(I715+P715)/2</f>
        <v>100</v>
      </c>
      <c r="R715" s="465" t="s">
        <v>25</v>
      </c>
      <c r="S715" s="557"/>
      <c r="T715" s="2"/>
    </row>
    <row r="716" spans="1:20" s="1" customFormat="1" ht="69" customHeight="1" x14ac:dyDescent="0.35">
      <c r="A716" s="605">
        <v>43</v>
      </c>
      <c r="B716" s="541" t="s">
        <v>155</v>
      </c>
      <c r="C716" s="454" t="s">
        <v>13</v>
      </c>
      <c r="D716" s="59" t="s">
        <v>103</v>
      </c>
      <c r="E716" s="454"/>
      <c r="F716" s="454"/>
      <c r="G716" s="454"/>
      <c r="H716" s="35"/>
      <c r="I716" s="35"/>
      <c r="J716" s="454" t="s">
        <v>13</v>
      </c>
      <c r="K716" s="59" t="s">
        <v>103</v>
      </c>
      <c r="L716" s="19"/>
      <c r="M716" s="19"/>
      <c r="N716" s="19"/>
      <c r="O716" s="35"/>
      <c r="P716" s="468"/>
      <c r="Q716" s="35"/>
      <c r="R716" s="19"/>
      <c r="S716" s="557" t="s">
        <v>272</v>
      </c>
      <c r="T716" s="2"/>
    </row>
    <row r="717" spans="1:20" s="1" customFormat="1" ht="71.25" customHeight="1" x14ac:dyDescent="0.35">
      <c r="A717" s="605"/>
      <c r="B717" s="541"/>
      <c r="C717" s="19" t="s">
        <v>16</v>
      </c>
      <c r="D717" s="41" t="s">
        <v>105</v>
      </c>
      <c r="E717" s="19" t="s">
        <v>18</v>
      </c>
      <c r="F717" s="19">
        <v>100</v>
      </c>
      <c r="G717" s="19">
        <v>100</v>
      </c>
      <c r="H717" s="24">
        <f>IF(G717/F717*100&gt;100,100,G717/F717*100)</f>
        <v>100</v>
      </c>
      <c r="I717" s="19"/>
      <c r="J717" s="19" t="s">
        <v>16</v>
      </c>
      <c r="K717" s="41" t="s">
        <v>156</v>
      </c>
      <c r="L717" s="19" t="s">
        <v>20</v>
      </c>
      <c r="M717" s="19">
        <v>247</v>
      </c>
      <c r="N717" s="19">
        <v>249</v>
      </c>
      <c r="O717" s="24">
        <f>IF(N717/M717*100&gt;110,110,N717/M717*100)</f>
        <v>100.8097165991903</v>
      </c>
      <c r="P717" s="468"/>
      <c r="Q717" s="35"/>
      <c r="R717" s="19"/>
      <c r="S717" s="557"/>
      <c r="T717" s="2"/>
    </row>
    <row r="718" spans="1:20" s="1" customFormat="1" ht="45.75" customHeight="1" x14ac:dyDescent="0.35">
      <c r="A718" s="605"/>
      <c r="B718" s="541"/>
      <c r="C718" s="19" t="s">
        <v>21</v>
      </c>
      <c r="D718" s="41" t="s">
        <v>135</v>
      </c>
      <c r="E718" s="19" t="s">
        <v>18</v>
      </c>
      <c r="F718" s="19">
        <v>100</v>
      </c>
      <c r="G718" s="19">
        <v>100</v>
      </c>
      <c r="H718" s="24">
        <f>IF(G718/F718*100&gt;100,100,G718/F718*100)</f>
        <v>100</v>
      </c>
      <c r="I718" s="19"/>
      <c r="J718" s="19"/>
      <c r="K718" s="455"/>
      <c r="L718" s="19"/>
      <c r="M718" s="476"/>
      <c r="N718" s="476"/>
      <c r="O718" s="24"/>
      <c r="P718" s="468"/>
      <c r="Q718" s="35"/>
      <c r="R718" s="19"/>
      <c r="S718" s="557"/>
      <c r="T718" s="2"/>
    </row>
    <row r="719" spans="1:20" s="1" customFormat="1" ht="58.5" customHeight="1" x14ac:dyDescent="0.35">
      <c r="A719" s="605"/>
      <c r="B719" s="541"/>
      <c r="C719" s="19" t="s">
        <v>23</v>
      </c>
      <c r="D719" s="41" t="s">
        <v>108</v>
      </c>
      <c r="E719" s="19" t="s">
        <v>18</v>
      </c>
      <c r="F719" s="19">
        <v>100</v>
      </c>
      <c r="G719" s="19">
        <v>100</v>
      </c>
      <c r="H719" s="24">
        <f>IF(G719/F719*100&gt;100,100,G719/F719*100)</f>
        <v>100</v>
      </c>
      <c r="I719" s="19"/>
      <c r="J719" s="129"/>
      <c r="K719" s="41"/>
      <c r="L719" s="19"/>
      <c r="M719" s="122"/>
      <c r="N719" s="122"/>
      <c r="O719" s="24"/>
      <c r="P719" s="468"/>
      <c r="Q719" s="35"/>
      <c r="R719" s="19"/>
      <c r="S719" s="557"/>
      <c r="T719" s="2"/>
    </row>
    <row r="720" spans="1:20" s="1" customFormat="1" ht="69.75" customHeight="1" x14ac:dyDescent="0.35">
      <c r="A720" s="605"/>
      <c r="B720" s="541"/>
      <c r="C720" s="19" t="s">
        <v>109</v>
      </c>
      <c r="D720" s="41" t="s">
        <v>157</v>
      </c>
      <c r="E720" s="19" t="s">
        <v>18</v>
      </c>
      <c r="F720" s="19">
        <v>90</v>
      </c>
      <c r="G720" s="19">
        <v>100</v>
      </c>
      <c r="H720" s="24">
        <f>IF(G720/F720*100&gt;100,100,G720/F720*100)</f>
        <v>100</v>
      </c>
      <c r="I720" s="19"/>
      <c r="J720" s="129"/>
      <c r="K720" s="41"/>
      <c r="L720" s="19"/>
      <c r="M720" s="122"/>
      <c r="N720" s="122"/>
      <c r="O720" s="24"/>
      <c r="P720" s="468"/>
      <c r="Q720" s="35"/>
      <c r="R720" s="19"/>
      <c r="S720" s="557"/>
      <c r="T720" s="2"/>
    </row>
    <row r="721" spans="1:20" s="1" customFormat="1" ht="130.5" customHeight="1" x14ac:dyDescent="0.35">
      <c r="A721" s="605"/>
      <c r="B721" s="541"/>
      <c r="C721" s="19" t="s">
        <v>110</v>
      </c>
      <c r="D721" s="41" t="s">
        <v>111</v>
      </c>
      <c r="E721" s="19" t="s">
        <v>18</v>
      </c>
      <c r="F721" s="19">
        <v>100</v>
      </c>
      <c r="G721" s="19">
        <v>100</v>
      </c>
      <c r="H721" s="24">
        <f>IF(G721/F721*100&gt;100,100,G721/F721*100)</f>
        <v>100</v>
      </c>
      <c r="I721" s="19"/>
      <c r="J721" s="129"/>
      <c r="K721" s="41"/>
      <c r="L721" s="19"/>
      <c r="M721" s="122"/>
      <c r="N721" s="122"/>
      <c r="O721" s="24"/>
      <c r="P721" s="468"/>
      <c r="Q721" s="35"/>
      <c r="R721" s="19"/>
      <c r="S721" s="557"/>
      <c r="T721" s="2"/>
    </row>
    <row r="722" spans="1:20" s="1" customFormat="1" ht="50.25" customHeight="1" x14ac:dyDescent="0.35">
      <c r="A722" s="605"/>
      <c r="B722" s="541"/>
      <c r="C722" s="465"/>
      <c r="D722" s="466" t="s">
        <v>644</v>
      </c>
      <c r="E722" s="465"/>
      <c r="F722" s="20"/>
      <c r="G722" s="20"/>
      <c r="H722" s="18"/>
      <c r="I722" s="18">
        <f>(H717+H718+H719+H720+H721)/5</f>
        <v>100</v>
      </c>
      <c r="J722" s="128"/>
      <c r="K722" s="466" t="s">
        <v>644</v>
      </c>
      <c r="L722" s="20"/>
      <c r="M722" s="124"/>
      <c r="N722" s="124"/>
      <c r="O722" s="18"/>
      <c r="P722" s="18">
        <f>O717</f>
        <v>100.8097165991903</v>
      </c>
      <c r="Q722" s="18">
        <f>(I722+P722)/2</f>
        <v>100.40485829959515</v>
      </c>
      <c r="R722" s="465" t="s">
        <v>25</v>
      </c>
      <c r="S722" s="557"/>
      <c r="T722" s="2"/>
    </row>
    <row r="723" spans="1:20" s="1" customFormat="1" ht="77.25" customHeight="1" x14ac:dyDescent="0.35">
      <c r="A723" s="605"/>
      <c r="B723" s="541"/>
      <c r="C723" s="454" t="s">
        <v>26</v>
      </c>
      <c r="D723" s="59" t="s">
        <v>113</v>
      </c>
      <c r="E723" s="19"/>
      <c r="F723" s="19"/>
      <c r="G723" s="19"/>
      <c r="H723" s="35"/>
      <c r="I723" s="35"/>
      <c r="J723" s="454" t="s">
        <v>26</v>
      </c>
      <c r="K723" s="59" t="s">
        <v>113</v>
      </c>
      <c r="L723" s="19"/>
      <c r="M723" s="122"/>
      <c r="N723" s="122"/>
      <c r="O723" s="35"/>
      <c r="P723" s="468"/>
      <c r="Q723" s="35"/>
      <c r="R723" s="19"/>
      <c r="S723" s="557"/>
      <c r="T723" s="2"/>
    </row>
    <row r="724" spans="1:20" s="1" customFormat="1" ht="69.75" customHeight="1" x14ac:dyDescent="0.35">
      <c r="A724" s="605"/>
      <c r="B724" s="541"/>
      <c r="C724" s="19" t="s">
        <v>28</v>
      </c>
      <c r="D724" s="41" t="s">
        <v>114</v>
      </c>
      <c r="E724" s="19" t="s">
        <v>18</v>
      </c>
      <c r="F724" s="19">
        <v>100</v>
      </c>
      <c r="G724" s="19">
        <v>100</v>
      </c>
      <c r="H724" s="24">
        <f>IF(G724/F724*100&gt;100,100,G724/F724*100)</f>
        <v>100</v>
      </c>
      <c r="I724" s="19"/>
      <c r="J724" s="129" t="s">
        <v>28</v>
      </c>
      <c r="K724" s="41" t="s">
        <v>156</v>
      </c>
      <c r="L724" s="19" t="s">
        <v>20</v>
      </c>
      <c r="M724" s="19">
        <v>258</v>
      </c>
      <c r="N724" s="19">
        <v>266</v>
      </c>
      <c r="O724" s="24">
        <f>IF(N724/M724*100&gt;110,110,N724/M724*100)</f>
        <v>103.10077519379846</v>
      </c>
      <c r="P724" s="19"/>
      <c r="Q724" s="35"/>
      <c r="R724" s="19"/>
      <c r="S724" s="557"/>
      <c r="T724" s="2"/>
    </row>
    <row r="725" spans="1:20" s="1" customFormat="1" ht="51" customHeight="1" x14ac:dyDescent="0.35">
      <c r="A725" s="605"/>
      <c r="B725" s="541"/>
      <c r="C725" s="19" t="s">
        <v>30</v>
      </c>
      <c r="D725" s="41" t="s">
        <v>115</v>
      </c>
      <c r="E725" s="19" t="s">
        <v>18</v>
      </c>
      <c r="F725" s="19">
        <v>100</v>
      </c>
      <c r="G725" s="19">
        <v>100</v>
      </c>
      <c r="H725" s="24">
        <f>IF(G725/F725*100&gt;100,100,G725/F725*100)</f>
        <v>100</v>
      </c>
      <c r="I725" s="19"/>
      <c r="J725" s="129"/>
      <c r="K725" s="41"/>
      <c r="L725" s="19"/>
      <c r="M725" s="122"/>
      <c r="N725" s="122"/>
      <c r="O725" s="24"/>
      <c r="P725" s="468"/>
      <c r="Q725" s="35"/>
      <c r="R725" s="19"/>
      <c r="S725" s="557"/>
      <c r="T725" s="2"/>
    </row>
    <row r="726" spans="1:20" s="1" customFormat="1" ht="60" customHeight="1" x14ac:dyDescent="0.35">
      <c r="A726" s="605"/>
      <c r="B726" s="541"/>
      <c r="C726" s="19" t="s">
        <v>34</v>
      </c>
      <c r="D726" s="41" t="s">
        <v>108</v>
      </c>
      <c r="E726" s="19" t="s">
        <v>18</v>
      </c>
      <c r="F726" s="19">
        <v>100</v>
      </c>
      <c r="G726" s="19">
        <v>100</v>
      </c>
      <c r="H726" s="24">
        <f>IF(G726/F726*100&gt;100,100,G726/F726*100)</f>
        <v>100</v>
      </c>
      <c r="I726" s="19"/>
      <c r="J726" s="129"/>
      <c r="K726" s="41"/>
      <c r="L726" s="19"/>
      <c r="M726" s="122"/>
      <c r="N726" s="122"/>
      <c r="O726" s="24"/>
      <c r="P726" s="468"/>
      <c r="Q726" s="35"/>
      <c r="R726" s="19"/>
      <c r="S726" s="557"/>
      <c r="T726" s="2"/>
    </row>
    <row r="727" spans="1:20" s="1" customFormat="1" ht="67.5" customHeight="1" x14ac:dyDescent="0.35">
      <c r="A727" s="605"/>
      <c r="B727" s="541"/>
      <c r="C727" s="19" t="s">
        <v>78</v>
      </c>
      <c r="D727" s="41" t="s">
        <v>157</v>
      </c>
      <c r="E727" s="19" t="s">
        <v>18</v>
      </c>
      <c r="F727" s="19">
        <v>90</v>
      </c>
      <c r="G727" s="19">
        <v>100</v>
      </c>
      <c r="H727" s="24">
        <f>IF(G727/F727*100&gt;100,100,G727/F727*100)</f>
        <v>100</v>
      </c>
      <c r="I727" s="19"/>
      <c r="J727" s="129"/>
      <c r="K727" s="41"/>
      <c r="L727" s="19"/>
      <c r="M727" s="122"/>
      <c r="N727" s="122"/>
      <c r="O727" s="24"/>
      <c r="P727" s="468"/>
      <c r="Q727" s="35"/>
      <c r="R727" s="19"/>
      <c r="S727" s="557"/>
      <c r="T727" s="2"/>
    </row>
    <row r="728" spans="1:20" s="1" customFormat="1" ht="115.5" customHeight="1" x14ac:dyDescent="0.35">
      <c r="A728" s="605"/>
      <c r="B728" s="541"/>
      <c r="C728" s="19" t="s">
        <v>79</v>
      </c>
      <c r="D728" s="41" t="s">
        <v>111</v>
      </c>
      <c r="E728" s="19" t="s">
        <v>18</v>
      </c>
      <c r="F728" s="19">
        <v>100</v>
      </c>
      <c r="G728" s="19">
        <v>100</v>
      </c>
      <c r="H728" s="24">
        <f>IF(G728/F728*100&gt;100,100,G728/F728*100)</f>
        <v>100</v>
      </c>
      <c r="I728" s="19"/>
      <c r="J728" s="129"/>
      <c r="K728" s="41"/>
      <c r="L728" s="19"/>
      <c r="M728" s="122"/>
      <c r="N728" s="122"/>
      <c r="O728" s="24"/>
      <c r="P728" s="468"/>
      <c r="Q728" s="35"/>
      <c r="R728" s="19"/>
      <c r="S728" s="557"/>
      <c r="T728" s="2"/>
    </row>
    <row r="729" spans="1:20" s="1" customFormat="1" ht="51.75" customHeight="1" x14ac:dyDescent="0.35">
      <c r="A729" s="605"/>
      <c r="B729" s="541"/>
      <c r="C729" s="465"/>
      <c r="D729" s="466" t="s">
        <v>644</v>
      </c>
      <c r="E729" s="465"/>
      <c r="F729" s="20"/>
      <c r="G729" s="20"/>
      <c r="H729" s="18"/>
      <c r="I729" s="18">
        <f>(H724+H725+H726+H727+H728)/5</f>
        <v>100</v>
      </c>
      <c r="J729" s="128"/>
      <c r="K729" s="466" t="s">
        <v>644</v>
      </c>
      <c r="L729" s="20"/>
      <c r="M729" s="124"/>
      <c r="N729" s="124"/>
      <c r="O729" s="18"/>
      <c r="P729" s="18">
        <f>O724</f>
        <v>103.10077519379846</v>
      </c>
      <c r="Q729" s="18">
        <f>(I729+P729)/2</f>
        <v>101.55038759689923</v>
      </c>
      <c r="R729" s="465" t="s">
        <v>25</v>
      </c>
      <c r="S729" s="557"/>
      <c r="T729" s="2"/>
    </row>
    <row r="730" spans="1:20" s="1" customFormat="1" ht="78.75" customHeight="1" x14ac:dyDescent="0.35">
      <c r="A730" s="605"/>
      <c r="B730" s="541"/>
      <c r="C730" s="454" t="s">
        <v>36</v>
      </c>
      <c r="D730" s="59" t="s">
        <v>116</v>
      </c>
      <c r="E730" s="19"/>
      <c r="F730" s="19"/>
      <c r="G730" s="19"/>
      <c r="H730" s="35"/>
      <c r="I730" s="35"/>
      <c r="J730" s="454" t="s">
        <v>36</v>
      </c>
      <c r="K730" s="59" t="str">
        <f>D730</f>
        <v>Реализация основных общеобразовательных программ среднего общего образования</v>
      </c>
      <c r="L730" s="19"/>
      <c r="M730" s="122"/>
      <c r="N730" s="122"/>
      <c r="O730" s="35"/>
      <c r="P730" s="468"/>
      <c r="Q730" s="35"/>
      <c r="R730" s="19"/>
      <c r="S730" s="557"/>
      <c r="T730" s="2"/>
    </row>
    <row r="731" spans="1:20" s="1" customFormat="1" ht="66" customHeight="1" x14ac:dyDescent="0.35">
      <c r="A731" s="605"/>
      <c r="B731" s="541"/>
      <c r="C731" s="19" t="s">
        <v>38</v>
      </c>
      <c r="D731" s="41" t="s">
        <v>117</v>
      </c>
      <c r="E731" s="19" t="s">
        <v>18</v>
      </c>
      <c r="F731" s="19">
        <v>100</v>
      </c>
      <c r="G731" s="19">
        <v>100</v>
      </c>
      <c r="H731" s="24">
        <f>IF(G731/F731*100&gt;100,100,G731/F731*100)</f>
        <v>100</v>
      </c>
      <c r="I731" s="19"/>
      <c r="J731" s="129" t="s">
        <v>38</v>
      </c>
      <c r="K731" s="41" t="s">
        <v>156</v>
      </c>
      <c r="L731" s="19" t="s">
        <v>20</v>
      </c>
      <c r="M731" s="19">
        <v>111</v>
      </c>
      <c r="N731" s="19">
        <v>115</v>
      </c>
      <c r="O731" s="24">
        <f>IF(N731/M731*100&gt;110,110,N731/M731*100)</f>
        <v>103.60360360360362</v>
      </c>
      <c r="P731" s="19"/>
      <c r="Q731" s="35"/>
      <c r="R731" s="19"/>
      <c r="S731" s="557"/>
      <c r="T731" s="2"/>
    </row>
    <row r="732" spans="1:20" s="1" customFormat="1" ht="54" customHeight="1" x14ac:dyDescent="0.35">
      <c r="A732" s="605"/>
      <c r="B732" s="541"/>
      <c r="C732" s="19" t="s">
        <v>118</v>
      </c>
      <c r="D732" s="41" t="s">
        <v>119</v>
      </c>
      <c r="E732" s="19" t="s">
        <v>18</v>
      </c>
      <c r="F732" s="19">
        <v>100</v>
      </c>
      <c r="G732" s="19">
        <v>100</v>
      </c>
      <c r="H732" s="24">
        <f>IF(G732/F732*100&gt;100,100,G732/F732*100)</f>
        <v>100</v>
      </c>
      <c r="I732" s="19"/>
      <c r="J732" s="129"/>
      <c r="K732" s="41"/>
      <c r="L732" s="19"/>
      <c r="M732" s="122"/>
      <c r="N732" s="122"/>
      <c r="O732" s="24"/>
      <c r="P732" s="468"/>
      <c r="Q732" s="35"/>
      <c r="R732" s="19"/>
      <c r="S732" s="557"/>
      <c r="T732" s="2"/>
    </row>
    <row r="733" spans="1:20" s="1" customFormat="1" ht="63.75" customHeight="1" x14ac:dyDescent="0.35">
      <c r="A733" s="605"/>
      <c r="B733" s="541"/>
      <c r="C733" s="19" t="s">
        <v>120</v>
      </c>
      <c r="D733" s="41" t="s">
        <v>108</v>
      </c>
      <c r="E733" s="19" t="s">
        <v>18</v>
      </c>
      <c r="F733" s="19">
        <v>100</v>
      </c>
      <c r="G733" s="19">
        <v>100</v>
      </c>
      <c r="H733" s="24">
        <f>IF(G733/F733*100&gt;100,100,G733/F733*100)</f>
        <v>100</v>
      </c>
      <c r="I733" s="19"/>
      <c r="J733" s="129"/>
      <c r="K733" s="41"/>
      <c r="L733" s="19"/>
      <c r="M733" s="122"/>
      <c r="N733" s="122"/>
      <c r="O733" s="24"/>
      <c r="P733" s="468"/>
      <c r="Q733" s="35"/>
      <c r="R733" s="19"/>
      <c r="S733" s="557"/>
      <c r="T733" s="2"/>
    </row>
    <row r="734" spans="1:20" s="1" customFormat="1" ht="81.75" customHeight="1" x14ac:dyDescent="0.35">
      <c r="A734" s="605"/>
      <c r="B734" s="541"/>
      <c r="C734" s="19" t="s">
        <v>121</v>
      </c>
      <c r="D734" s="41" t="s">
        <v>157</v>
      </c>
      <c r="E734" s="19" t="s">
        <v>18</v>
      </c>
      <c r="F734" s="19">
        <v>90</v>
      </c>
      <c r="G734" s="19">
        <v>100</v>
      </c>
      <c r="H734" s="24">
        <f>IF(G734/F734*100&gt;100,100,G734/F734*100)</f>
        <v>100</v>
      </c>
      <c r="I734" s="19"/>
      <c r="J734" s="129"/>
      <c r="K734" s="41"/>
      <c r="L734" s="19"/>
      <c r="M734" s="122"/>
      <c r="N734" s="122"/>
      <c r="O734" s="24"/>
      <c r="P734" s="468"/>
      <c r="Q734" s="35"/>
      <c r="R734" s="19"/>
      <c r="S734" s="557"/>
      <c r="T734" s="2"/>
    </row>
    <row r="735" spans="1:20" s="1" customFormat="1" ht="110.25" customHeight="1" x14ac:dyDescent="0.35">
      <c r="A735" s="605"/>
      <c r="B735" s="541"/>
      <c r="C735" s="19" t="s">
        <v>122</v>
      </c>
      <c r="D735" s="41" t="s">
        <v>111</v>
      </c>
      <c r="E735" s="19" t="s">
        <v>18</v>
      </c>
      <c r="F735" s="19">
        <v>100</v>
      </c>
      <c r="G735" s="19">
        <v>100</v>
      </c>
      <c r="H735" s="24">
        <f>IF(G735/F735*100&gt;100,100,G735/F735*100)</f>
        <v>100</v>
      </c>
      <c r="I735" s="19"/>
      <c r="J735" s="129"/>
      <c r="K735" s="41"/>
      <c r="L735" s="19"/>
      <c r="M735" s="122"/>
      <c r="N735" s="122"/>
      <c r="O735" s="24"/>
      <c r="P735" s="468"/>
      <c r="Q735" s="35"/>
      <c r="R735" s="19"/>
      <c r="S735" s="557"/>
      <c r="T735" s="2"/>
    </row>
    <row r="736" spans="1:20" s="1" customFormat="1" ht="40.5" customHeight="1" x14ac:dyDescent="0.35">
      <c r="A736" s="605"/>
      <c r="B736" s="541"/>
      <c r="C736" s="465"/>
      <c r="D736" s="466" t="s">
        <v>644</v>
      </c>
      <c r="E736" s="465"/>
      <c r="F736" s="20"/>
      <c r="G736" s="20"/>
      <c r="H736" s="18"/>
      <c r="I736" s="18">
        <f>(H731+H732+H733+H734+H735)/5</f>
        <v>100</v>
      </c>
      <c r="J736" s="128"/>
      <c r="K736" s="466" t="s">
        <v>644</v>
      </c>
      <c r="L736" s="20"/>
      <c r="M736" s="124"/>
      <c r="N736" s="124"/>
      <c r="O736" s="18"/>
      <c r="P736" s="18">
        <f>O731</f>
        <v>103.60360360360362</v>
      </c>
      <c r="Q736" s="18">
        <f>(I736+P736)/2</f>
        <v>101.80180180180182</v>
      </c>
      <c r="R736" s="465" t="s">
        <v>25</v>
      </c>
      <c r="S736" s="557"/>
      <c r="T736" s="2"/>
    </row>
    <row r="737" spans="1:20" s="1" customFormat="1" ht="49.5" customHeight="1" x14ac:dyDescent="0.35">
      <c r="A737" s="605"/>
      <c r="B737" s="541"/>
      <c r="C737" s="454" t="s">
        <v>123</v>
      </c>
      <c r="D737" s="59" t="s">
        <v>27</v>
      </c>
      <c r="E737" s="19"/>
      <c r="F737" s="19"/>
      <c r="G737" s="19"/>
      <c r="H737" s="35"/>
      <c r="I737" s="35"/>
      <c r="J737" s="454" t="s">
        <v>123</v>
      </c>
      <c r="K737" s="59" t="s">
        <v>27</v>
      </c>
      <c r="L737" s="19"/>
      <c r="M737" s="122"/>
      <c r="N737" s="122"/>
      <c r="O737" s="35"/>
      <c r="P737" s="468"/>
      <c r="Q737" s="35"/>
      <c r="R737" s="19"/>
      <c r="S737" s="557"/>
      <c r="T737" s="2"/>
    </row>
    <row r="738" spans="1:20" s="1" customFormat="1" ht="81.75" customHeight="1" x14ac:dyDescent="0.35">
      <c r="A738" s="605"/>
      <c r="B738" s="541"/>
      <c r="C738" s="19" t="s">
        <v>124</v>
      </c>
      <c r="D738" s="41" t="s">
        <v>125</v>
      </c>
      <c r="E738" s="19" t="s">
        <v>18</v>
      </c>
      <c r="F738" s="19">
        <v>100</v>
      </c>
      <c r="G738" s="19">
        <v>100</v>
      </c>
      <c r="H738" s="24">
        <f>IF(G738/F738*100&gt;100,100,G738/F738*100)</f>
        <v>100</v>
      </c>
      <c r="I738" s="19"/>
      <c r="J738" s="129" t="s">
        <v>124</v>
      </c>
      <c r="K738" s="41" t="s">
        <v>156</v>
      </c>
      <c r="L738" s="19" t="s">
        <v>20</v>
      </c>
      <c r="M738" s="19">
        <v>66</v>
      </c>
      <c r="N738" s="19">
        <v>66</v>
      </c>
      <c r="O738" s="24">
        <f>IF(N738/M738*100&gt;110,110,N738/M738*100)</f>
        <v>100</v>
      </c>
      <c r="P738" s="468"/>
      <c r="Q738" s="35"/>
      <c r="R738" s="19"/>
      <c r="S738" s="557"/>
      <c r="T738" s="2"/>
    </row>
    <row r="739" spans="1:20" s="1" customFormat="1" ht="81.75" customHeight="1" x14ac:dyDescent="0.35">
      <c r="A739" s="605"/>
      <c r="B739" s="541"/>
      <c r="C739" s="19" t="s">
        <v>127</v>
      </c>
      <c r="D739" s="41" t="s">
        <v>128</v>
      </c>
      <c r="E739" s="19" t="s">
        <v>18</v>
      </c>
      <c r="F739" s="19">
        <v>90</v>
      </c>
      <c r="G739" s="19">
        <v>90</v>
      </c>
      <c r="H739" s="24">
        <f>IF(G739/F739*100&gt;100,100,G739/F739*100)</f>
        <v>100</v>
      </c>
      <c r="I739" s="19"/>
      <c r="J739" s="129"/>
      <c r="K739" s="41"/>
      <c r="L739" s="19"/>
      <c r="M739" s="122"/>
      <c r="N739" s="122"/>
      <c r="O739" s="24"/>
      <c r="P739" s="468"/>
      <c r="Q739" s="35"/>
      <c r="R739" s="19"/>
      <c r="S739" s="557"/>
      <c r="T739" s="2"/>
    </row>
    <row r="740" spans="1:20" s="1" customFormat="1" ht="40.5" customHeight="1" x14ac:dyDescent="0.35">
      <c r="A740" s="605"/>
      <c r="B740" s="541"/>
      <c r="C740" s="465"/>
      <c r="D740" s="466" t="s">
        <v>644</v>
      </c>
      <c r="E740" s="465"/>
      <c r="F740" s="20"/>
      <c r="G740" s="20"/>
      <c r="H740" s="18"/>
      <c r="I740" s="18">
        <f>(H738+H739)/2</f>
        <v>100</v>
      </c>
      <c r="J740" s="128"/>
      <c r="K740" s="466" t="s">
        <v>644</v>
      </c>
      <c r="L740" s="20"/>
      <c r="M740" s="124"/>
      <c r="N740" s="124"/>
      <c r="O740" s="18"/>
      <c r="P740" s="18">
        <f>O738</f>
        <v>100</v>
      </c>
      <c r="Q740" s="18">
        <f>(I740+P740)/2</f>
        <v>100</v>
      </c>
      <c r="R740" s="465" t="s">
        <v>25</v>
      </c>
      <c r="S740" s="557"/>
      <c r="T740" s="2"/>
    </row>
    <row r="741" spans="1:20" s="1" customFormat="1" ht="51" customHeight="1" x14ac:dyDescent="0.35">
      <c r="A741" s="605"/>
      <c r="B741" s="541"/>
      <c r="C741" s="454" t="s">
        <v>129</v>
      </c>
      <c r="D741" s="59" t="s">
        <v>130</v>
      </c>
      <c r="E741" s="19"/>
      <c r="F741" s="19"/>
      <c r="G741" s="19"/>
      <c r="H741" s="35"/>
      <c r="I741" s="35"/>
      <c r="J741" s="454" t="s">
        <v>129</v>
      </c>
      <c r="K741" s="59" t="str">
        <f>D741</f>
        <v>Реализация дополнительных общеразвивающих программ</v>
      </c>
      <c r="L741" s="19"/>
      <c r="M741" s="122"/>
      <c r="N741" s="122"/>
      <c r="O741" s="35"/>
      <c r="P741" s="468"/>
      <c r="Q741" s="35"/>
      <c r="R741" s="19"/>
      <c r="S741" s="557"/>
      <c r="T741" s="2"/>
    </row>
    <row r="742" spans="1:20" s="1" customFormat="1" ht="79.5" customHeight="1" x14ac:dyDescent="0.35">
      <c r="A742" s="605"/>
      <c r="B742" s="541"/>
      <c r="C742" s="19" t="s">
        <v>131</v>
      </c>
      <c r="D742" s="41" t="s">
        <v>128</v>
      </c>
      <c r="E742" s="19" t="s">
        <v>18</v>
      </c>
      <c r="F742" s="19">
        <v>90</v>
      </c>
      <c r="G742" s="19">
        <v>90</v>
      </c>
      <c r="H742" s="24">
        <f>IF(G742/F742*100&gt;100,100,G742/F742*100)</f>
        <v>100</v>
      </c>
      <c r="I742" s="19"/>
      <c r="J742" s="129" t="s">
        <v>131</v>
      </c>
      <c r="K742" s="41" t="s">
        <v>156</v>
      </c>
      <c r="L742" s="19" t="s">
        <v>158</v>
      </c>
      <c r="M742" s="19">
        <v>52876.800000000003</v>
      </c>
      <c r="N742" s="19">
        <v>52876.800000000003</v>
      </c>
      <c r="O742" s="24">
        <f>IF(N742/M742*100&gt;110,110,N742/M742*100)</f>
        <v>100</v>
      </c>
      <c r="P742" s="468"/>
      <c r="Q742" s="35"/>
      <c r="R742" s="19"/>
      <c r="S742" s="557"/>
      <c r="T742" s="2"/>
    </row>
    <row r="743" spans="1:20" s="1" customFormat="1" ht="43.5" customHeight="1" x14ac:dyDescent="0.35">
      <c r="A743" s="605"/>
      <c r="B743" s="541"/>
      <c r="C743" s="465"/>
      <c r="D743" s="466" t="s">
        <v>644</v>
      </c>
      <c r="E743" s="465"/>
      <c r="F743" s="20"/>
      <c r="G743" s="20"/>
      <c r="H743" s="18"/>
      <c r="I743" s="18">
        <f>H742</f>
        <v>100</v>
      </c>
      <c r="J743" s="128"/>
      <c r="K743" s="466" t="s">
        <v>644</v>
      </c>
      <c r="L743" s="20"/>
      <c r="M743" s="124"/>
      <c r="N743" s="124"/>
      <c r="O743" s="18"/>
      <c r="P743" s="18">
        <f>O742</f>
        <v>100</v>
      </c>
      <c r="Q743" s="18">
        <f>(I743+P743)/2</f>
        <v>100</v>
      </c>
      <c r="R743" s="465" t="s">
        <v>25</v>
      </c>
      <c r="S743" s="557"/>
      <c r="T743" s="2"/>
    </row>
    <row r="744" spans="1:20" s="1" customFormat="1" ht="82.5" customHeight="1" x14ac:dyDescent="0.35">
      <c r="A744" s="605">
        <v>44</v>
      </c>
      <c r="B744" s="541" t="s">
        <v>159</v>
      </c>
      <c r="C744" s="454" t="s">
        <v>13</v>
      </c>
      <c r="D744" s="59" t="s">
        <v>103</v>
      </c>
      <c r="E744" s="454"/>
      <c r="F744" s="454"/>
      <c r="G744" s="454"/>
      <c r="H744" s="35"/>
      <c r="I744" s="35"/>
      <c r="J744" s="454" t="s">
        <v>13</v>
      </c>
      <c r="K744" s="59" t="s">
        <v>103</v>
      </c>
      <c r="L744" s="19"/>
      <c r="M744" s="19"/>
      <c r="N744" s="19"/>
      <c r="O744" s="35"/>
      <c r="P744" s="468"/>
      <c r="Q744" s="35"/>
      <c r="R744" s="19"/>
      <c r="S744" s="557" t="s">
        <v>104</v>
      </c>
      <c r="T744" s="2"/>
    </row>
    <row r="745" spans="1:20" s="1" customFormat="1" ht="84.75" customHeight="1" x14ac:dyDescent="0.35">
      <c r="A745" s="605"/>
      <c r="B745" s="541"/>
      <c r="C745" s="19" t="s">
        <v>16</v>
      </c>
      <c r="D745" s="41" t="s">
        <v>105</v>
      </c>
      <c r="E745" s="19" t="s">
        <v>18</v>
      </c>
      <c r="F745" s="19">
        <v>100</v>
      </c>
      <c r="G745" s="19">
        <v>100</v>
      </c>
      <c r="H745" s="24">
        <f>IF(G745/F745*100&gt;100,100,G745/F745*100)</f>
        <v>100</v>
      </c>
      <c r="I745" s="19"/>
      <c r="J745" s="19" t="s">
        <v>16</v>
      </c>
      <c r="K745" s="41" t="s">
        <v>106</v>
      </c>
      <c r="L745" s="19" t="s">
        <v>20</v>
      </c>
      <c r="M745" s="19">
        <v>310</v>
      </c>
      <c r="N745" s="19">
        <v>303</v>
      </c>
      <c r="O745" s="24">
        <f>IF(N745/M745*100&gt;110,110,N745/M745*100)</f>
        <v>97.741935483870961</v>
      </c>
      <c r="P745" s="468"/>
      <c r="Q745" s="35"/>
      <c r="R745" s="19"/>
      <c r="S745" s="557"/>
      <c r="T745" s="2"/>
    </row>
    <row r="746" spans="1:20" s="1" customFormat="1" ht="41.25" customHeight="1" x14ac:dyDescent="0.35">
      <c r="A746" s="605"/>
      <c r="B746" s="541"/>
      <c r="C746" s="19" t="s">
        <v>21</v>
      </c>
      <c r="D746" s="41" t="s">
        <v>135</v>
      </c>
      <c r="E746" s="19" t="s">
        <v>18</v>
      </c>
      <c r="F746" s="19">
        <v>100</v>
      </c>
      <c r="G746" s="19">
        <v>100</v>
      </c>
      <c r="H746" s="24">
        <f>IF(G746/F746*100&gt;100,100,G746/F746*100)</f>
        <v>100</v>
      </c>
      <c r="I746" s="19"/>
      <c r="J746" s="19"/>
      <c r="K746" s="455"/>
      <c r="L746" s="19"/>
      <c r="M746" s="476"/>
      <c r="N746" s="476"/>
      <c r="O746" s="24"/>
      <c r="P746" s="468"/>
      <c r="Q746" s="35"/>
      <c r="R746" s="19"/>
      <c r="S746" s="557"/>
      <c r="T746" s="2"/>
    </row>
    <row r="747" spans="1:20" s="1" customFormat="1" ht="60" customHeight="1" x14ac:dyDescent="0.35">
      <c r="A747" s="605"/>
      <c r="B747" s="541"/>
      <c r="C747" s="19" t="s">
        <v>23</v>
      </c>
      <c r="D747" s="41" t="s">
        <v>108</v>
      </c>
      <c r="E747" s="19" t="s">
        <v>18</v>
      </c>
      <c r="F747" s="19">
        <v>100</v>
      </c>
      <c r="G747" s="19">
        <v>100</v>
      </c>
      <c r="H747" s="24">
        <f>IF(G747/F747*100&gt;100,100,G747/F747*100)</f>
        <v>100</v>
      </c>
      <c r="I747" s="19"/>
      <c r="J747" s="129"/>
      <c r="K747" s="41"/>
      <c r="L747" s="19"/>
      <c r="M747" s="122"/>
      <c r="N747" s="122"/>
      <c r="O747" s="24"/>
      <c r="P747" s="468"/>
      <c r="Q747" s="35"/>
      <c r="R747" s="19"/>
      <c r="S747" s="557"/>
      <c r="T747" s="2"/>
    </row>
    <row r="748" spans="1:20" s="1" customFormat="1" ht="77.25" customHeight="1" x14ac:dyDescent="0.35">
      <c r="A748" s="605"/>
      <c r="B748" s="541"/>
      <c r="C748" s="19" t="s">
        <v>109</v>
      </c>
      <c r="D748" s="41" t="s">
        <v>17</v>
      </c>
      <c r="E748" s="19" t="s">
        <v>18</v>
      </c>
      <c r="F748" s="19">
        <v>90</v>
      </c>
      <c r="G748" s="19">
        <v>90</v>
      </c>
      <c r="H748" s="24">
        <f>IF(G748/F748*100&gt;100,100,G748/F748*100)</f>
        <v>100</v>
      </c>
      <c r="I748" s="19"/>
      <c r="J748" s="129"/>
      <c r="K748" s="41"/>
      <c r="L748" s="19"/>
      <c r="M748" s="122"/>
      <c r="N748" s="122"/>
      <c r="O748" s="24"/>
      <c r="P748" s="468"/>
      <c r="Q748" s="35"/>
      <c r="R748" s="19"/>
      <c r="S748" s="557"/>
      <c r="T748" s="2"/>
    </row>
    <row r="749" spans="1:20" s="1" customFormat="1" ht="112.5" customHeight="1" x14ac:dyDescent="0.35">
      <c r="A749" s="605"/>
      <c r="B749" s="541"/>
      <c r="C749" s="19" t="s">
        <v>110</v>
      </c>
      <c r="D749" s="41" t="s">
        <v>111</v>
      </c>
      <c r="E749" s="19" t="s">
        <v>18</v>
      </c>
      <c r="F749" s="19">
        <v>100</v>
      </c>
      <c r="G749" s="19">
        <v>100</v>
      </c>
      <c r="H749" s="24">
        <f>IF(G749/F749*100&gt;100,100,G749/F749*100)</f>
        <v>100</v>
      </c>
      <c r="I749" s="19"/>
      <c r="J749" s="129"/>
      <c r="K749" s="41"/>
      <c r="L749" s="19"/>
      <c r="M749" s="122"/>
      <c r="N749" s="122"/>
      <c r="O749" s="24"/>
      <c r="P749" s="468"/>
      <c r="Q749" s="35"/>
      <c r="R749" s="19"/>
      <c r="S749" s="557"/>
      <c r="T749" s="2"/>
    </row>
    <row r="750" spans="1:20" s="1" customFormat="1" ht="40.5" customHeight="1" x14ac:dyDescent="0.35">
      <c r="A750" s="605"/>
      <c r="B750" s="541"/>
      <c r="C750" s="465"/>
      <c r="D750" s="466" t="s">
        <v>644</v>
      </c>
      <c r="E750" s="465"/>
      <c r="F750" s="20"/>
      <c r="G750" s="20"/>
      <c r="H750" s="18"/>
      <c r="I750" s="18">
        <f>(H745+H746+H747+H748+H749)/5</f>
        <v>100</v>
      </c>
      <c r="J750" s="128"/>
      <c r="K750" s="466" t="s">
        <v>644</v>
      </c>
      <c r="L750" s="20"/>
      <c r="M750" s="124"/>
      <c r="N750" s="124"/>
      <c r="O750" s="18"/>
      <c r="P750" s="18">
        <f>O745</f>
        <v>97.741935483870961</v>
      </c>
      <c r="Q750" s="18">
        <f>(I750+P750)/2</f>
        <v>98.870967741935488</v>
      </c>
      <c r="R750" s="465" t="s">
        <v>112</v>
      </c>
      <c r="S750" s="557"/>
      <c r="T750" s="2"/>
    </row>
    <row r="751" spans="1:20" s="1" customFormat="1" ht="101.25" customHeight="1" x14ac:dyDescent="0.35">
      <c r="A751" s="605"/>
      <c r="B751" s="541"/>
      <c r="C751" s="454" t="s">
        <v>26</v>
      </c>
      <c r="D751" s="59" t="s">
        <v>113</v>
      </c>
      <c r="E751" s="19"/>
      <c r="F751" s="19"/>
      <c r="G751" s="19"/>
      <c r="H751" s="35"/>
      <c r="I751" s="35"/>
      <c r="J751" s="454" t="s">
        <v>26</v>
      </c>
      <c r="K751" s="59" t="s">
        <v>113</v>
      </c>
      <c r="L751" s="19"/>
      <c r="M751" s="122"/>
      <c r="N751" s="122"/>
      <c r="O751" s="35"/>
      <c r="P751" s="468"/>
      <c r="Q751" s="35"/>
      <c r="R751" s="19"/>
      <c r="S751" s="557"/>
      <c r="T751" s="2"/>
    </row>
    <row r="752" spans="1:20" s="1" customFormat="1" ht="81" customHeight="1" x14ac:dyDescent="0.35">
      <c r="A752" s="605"/>
      <c r="B752" s="541"/>
      <c r="C752" s="19" t="s">
        <v>28</v>
      </c>
      <c r="D752" s="41" t="s">
        <v>114</v>
      </c>
      <c r="E752" s="19" t="s">
        <v>18</v>
      </c>
      <c r="F752" s="19">
        <v>100</v>
      </c>
      <c r="G752" s="19">
        <v>100</v>
      </c>
      <c r="H752" s="24">
        <f>IF(G752/F752*100&gt;100,100,G752/F752*100)</f>
        <v>100</v>
      </c>
      <c r="I752" s="19"/>
      <c r="J752" s="129" t="s">
        <v>28</v>
      </c>
      <c r="K752" s="41" t="s">
        <v>106</v>
      </c>
      <c r="L752" s="19" t="s">
        <v>20</v>
      </c>
      <c r="M752" s="19">
        <v>359</v>
      </c>
      <c r="N752" s="19">
        <v>347</v>
      </c>
      <c r="O752" s="24">
        <f>IF(N752/M752*100&gt;110,110,N752/M752*100)</f>
        <v>96.657381615598879</v>
      </c>
      <c r="P752" s="19"/>
      <c r="Q752" s="35"/>
      <c r="R752" s="19"/>
      <c r="S752" s="557"/>
      <c r="T752" s="2"/>
    </row>
    <row r="753" spans="1:20" s="1" customFormat="1" ht="52.5" customHeight="1" x14ac:dyDescent="0.35">
      <c r="A753" s="605"/>
      <c r="B753" s="541"/>
      <c r="C753" s="19" t="s">
        <v>30</v>
      </c>
      <c r="D753" s="41" t="s">
        <v>115</v>
      </c>
      <c r="E753" s="19" t="s">
        <v>18</v>
      </c>
      <c r="F753" s="19">
        <v>100</v>
      </c>
      <c r="G753" s="19">
        <v>100</v>
      </c>
      <c r="H753" s="24">
        <f>IF(G753/F753*100&gt;100,100,G753/F753*100)</f>
        <v>100</v>
      </c>
      <c r="I753" s="19"/>
      <c r="J753" s="129"/>
      <c r="K753" s="41"/>
      <c r="L753" s="19"/>
      <c r="M753" s="122"/>
      <c r="N753" s="122"/>
      <c r="O753" s="24"/>
      <c r="P753" s="468"/>
      <c r="Q753" s="35"/>
      <c r="R753" s="19"/>
      <c r="S753" s="557"/>
      <c r="T753" s="2"/>
    </row>
    <row r="754" spans="1:20" s="1" customFormat="1" ht="60" customHeight="1" x14ac:dyDescent="0.35">
      <c r="A754" s="605"/>
      <c r="B754" s="541"/>
      <c r="C754" s="19" t="s">
        <v>34</v>
      </c>
      <c r="D754" s="41" t="s">
        <v>108</v>
      </c>
      <c r="E754" s="19" t="s">
        <v>18</v>
      </c>
      <c r="F754" s="19">
        <v>100</v>
      </c>
      <c r="G754" s="19">
        <v>100</v>
      </c>
      <c r="H754" s="24">
        <f>IF(G754/F754*100&gt;100,100,G754/F754*100)</f>
        <v>100</v>
      </c>
      <c r="I754" s="19"/>
      <c r="J754" s="129"/>
      <c r="K754" s="41"/>
      <c r="L754" s="19"/>
      <c r="M754" s="122"/>
      <c r="N754" s="122"/>
      <c r="O754" s="24"/>
      <c r="P754" s="468"/>
      <c r="Q754" s="35"/>
      <c r="R754" s="19"/>
      <c r="S754" s="557"/>
      <c r="T754" s="2"/>
    </row>
    <row r="755" spans="1:20" s="1" customFormat="1" ht="67.5" customHeight="1" x14ac:dyDescent="0.35">
      <c r="A755" s="605"/>
      <c r="B755" s="541"/>
      <c r="C755" s="19" t="s">
        <v>78</v>
      </c>
      <c r="D755" s="41" t="s">
        <v>17</v>
      </c>
      <c r="E755" s="19" t="s">
        <v>18</v>
      </c>
      <c r="F755" s="19">
        <v>90</v>
      </c>
      <c r="G755" s="19">
        <v>90</v>
      </c>
      <c r="H755" s="24">
        <f>IF(G755/F755*100&gt;100,100,G755/F755*100)</f>
        <v>100</v>
      </c>
      <c r="I755" s="19"/>
      <c r="J755" s="129"/>
      <c r="K755" s="41"/>
      <c r="L755" s="19"/>
      <c r="M755" s="122"/>
      <c r="N755" s="122"/>
      <c r="O755" s="24"/>
      <c r="P755" s="468"/>
      <c r="Q755" s="35"/>
      <c r="R755" s="19"/>
      <c r="S755" s="557"/>
      <c r="T755" s="2"/>
    </row>
    <row r="756" spans="1:20" s="1" customFormat="1" ht="120.75" customHeight="1" x14ac:dyDescent="0.35">
      <c r="A756" s="605"/>
      <c r="B756" s="541"/>
      <c r="C756" s="19" t="s">
        <v>79</v>
      </c>
      <c r="D756" s="41" t="s">
        <v>111</v>
      </c>
      <c r="E756" s="19" t="s">
        <v>18</v>
      </c>
      <c r="F756" s="19">
        <v>100</v>
      </c>
      <c r="G756" s="19">
        <v>100</v>
      </c>
      <c r="H756" s="24">
        <f>IF(G756/F756*100&gt;100,100,G756/F756*100)</f>
        <v>100</v>
      </c>
      <c r="I756" s="19"/>
      <c r="J756" s="129"/>
      <c r="K756" s="41"/>
      <c r="L756" s="19"/>
      <c r="M756" s="122"/>
      <c r="N756" s="122"/>
      <c r="O756" s="24"/>
      <c r="P756" s="468"/>
      <c r="Q756" s="35"/>
      <c r="R756" s="19"/>
      <c r="S756" s="557"/>
      <c r="T756" s="2"/>
    </row>
    <row r="757" spans="1:20" s="1" customFormat="1" ht="51.75" customHeight="1" x14ac:dyDescent="0.35">
      <c r="A757" s="605"/>
      <c r="B757" s="541"/>
      <c r="C757" s="465"/>
      <c r="D757" s="466" t="s">
        <v>644</v>
      </c>
      <c r="E757" s="465"/>
      <c r="F757" s="20"/>
      <c r="G757" s="20"/>
      <c r="H757" s="18"/>
      <c r="I757" s="18">
        <f>(H752+H753+H754+H755+H756)/5</f>
        <v>100</v>
      </c>
      <c r="J757" s="128"/>
      <c r="K757" s="466" t="s">
        <v>644</v>
      </c>
      <c r="L757" s="20"/>
      <c r="M757" s="124"/>
      <c r="N757" s="124"/>
      <c r="O757" s="18"/>
      <c r="P757" s="18">
        <f>O752</f>
        <v>96.657381615598879</v>
      </c>
      <c r="Q757" s="18">
        <f>(I757+P757)/2</f>
        <v>98.328690807799433</v>
      </c>
      <c r="R757" s="465" t="s">
        <v>112</v>
      </c>
      <c r="S757" s="557"/>
      <c r="T757" s="2"/>
    </row>
    <row r="758" spans="1:20" s="1" customFormat="1" ht="78.75" customHeight="1" x14ac:dyDescent="0.35">
      <c r="A758" s="605"/>
      <c r="B758" s="541"/>
      <c r="C758" s="454" t="s">
        <v>36</v>
      </c>
      <c r="D758" s="59" t="s">
        <v>116</v>
      </c>
      <c r="E758" s="19"/>
      <c r="F758" s="19"/>
      <c r="G758" s="19"/>
      <c r="H758" s="35"/>
      <c r="I758" s="35"/>
      <c r="J758" s="454" t="s">
        <v>36</v>
      </c>
      <c r="K758" s="59" t="s">
        <v>113</v>
      </c>
      <c r="L758" s="19"/>
      <c r="M758" s="122"/>
      <c r="N758" s="122"/>
      <c r="O758" s="35"/>
      <c r="P758" s="468"/>
      <c r="Q758" s="35"/>
      <c r="R758" s="19"/>
      <c r="S758" s="557"/>
      <c r="T758" s="2"/>
    </row>
    <row r="759" spans="1:20" s="1" customFormat="1" ht="66" customHeight="1" x14ac:dyDescent="0.35">
      <c r="A759" s="605"/>
      <c r="B759" s="541"/>
      <c r="C759" s="19" t="s">
        <v>38</v>
      </c>
      <c r="D759" s="41" t="s">
        <v>117</v>
      </c>
      <c r="E759" s="19" t="s">
        <v>18</v>
      </c>
      <c r="F759" s="19">
        <v>100</v>
      </c>
      <c r="G759" s="19">
        <v>100</v>
      </c>
      <c r="H759" s="24">
        <f>IF(G759/F759*100&gt;100,100,G759/F759*100)</f>
        <v>100</v>
      </c>
      <c r="I759" s="19"/>
      <c r="J759" s="129" t="s">
        <v>38</v>
      </c>
      <c r="K759" s="41" t="s">
        <v>106</v>
      </c>
      <c r="L759" s="19" t="s">
        <v>20</v>
      </c>
      <c r="M759" s="19">
        <v>72</v>
      </c>
      <c r="N759" s="19">
        <v>68</v>
      </c>
      <c r="O759" s="24">
        <f>IF(N759/M759*100&gt;110,110,N759/M759*100)</f>
        <v>94.444444444444443</v>
      </c>
      <c r="P759" s="19"/>
      <c r="Q759" s="35"/>
      <c r="R759" s="19"/>
      <c r="S759" s="557"/>
      <c r="T759" s="2"/>
    </row>
    <row r="760" spans="1:20" s="1" customFormat="1" ht="45.75" customHeight="1" x14ac:dyDescent="0.35">
      <c r="A760" s="605"/>
      <c r="B760" s="541"/>
      <c r="C760" s="19" t="s">
        <v>118</v>
      </c>
      <c r="D760" s="41" t="s">
        <v>119</v>
      </c>
      <c r="E760" s="19" t="s">
        <v>18</v>
      </c>
      <c r="F760" s="19">
        <v>100</v>
      </c>
      <c r="G760" s="19">
        <v>100</v>
      </c>
      <c r="H760" s="24">
        <f>IF(G760/F760*100&gt;100,100,G760/F760*100)</f>
        <v>100</v>
      </c>
      <c r="I760" s="19"/>
      <c r="J760" s="129"/>
      <c r="K760" s="41"/>
      <c r="L760" s="19"/>
      <c r="M760" s="122"/>
      <c r="N760" s="122"/>
      <c r="O760" s="24"/>
      <c r="P760" s="468"/>
      <c r="Q760" s="35"/>
      <c r="R760" s="19"/>
      <c r="S760" s="557"/>
      <c r="T760" s="2"/>
    </row>
    <row r="761" spans="1:20" s="1" customFormat="1" ht="51.75" customHeight="1" x14ac:dyDescent="0.35">
      <c r="A761" s="605"/>
      <c r="B761" s="541"/>
      <c r="C761" s="19" t="s">
        <v>120</v>
      </c>
      <c r="D761" s="41" t="s">
        <v>108</v>
      </c>
      <c r="E761" s="19" t="s">
        <v>18</v>
      </c>
      <c r="F761" s="19">
        <v>100</v>
      </c>
      <c r="G761" s="19">
        <v>100</v>
      </c>
      <c r="H761" s="24">
        <f>IF(G761/F761*100&gt;100,100,G761/F761*100)</f>
        <v>100</v>
      </c>
      <c r="I761" s="19"/>
      <c r="J761" s="129"/>
      <c r="K761" s="41"/>
      <c r="L761" s="19"/>
      <c r="M761" s="122"/>
      <c r="N761" s="122"/>
      <c r="O761" s="24"/>
      <c r="P761" s="468"/>
      <c r="Q761" s="35"/>
      <c r="R761" s="19"/>
      <c r="S761" s="557"/>
      <c r="T761" s="2"/>
    </row>
    <row r="762" spans="1:20" s="1" customFormat="1" ht="96" customHeight="1" x14ac:dyDescent="0.35">
      <c r="A762" s="605"/>
      <c r="B762" s="541"/>
      <c r="C762" s="19" t="s">
        <v>121</v>
      </c>
      <c r="D762" s="41" t="s">
        <v>17</v>
      </c>
      <c r="E762" s="19" t="s">
        <v>18</v>
      </c>
      <c r="F762" s="19">
        <v>90</v>
      </c>
      <c r="G762" s="19">
        <v>90</v>
      </c>
      <c r="H762" s="24">
        <f>IF(G762/F762*100&gt;100,100,G762/F762*100)</f>
        <v>100</v>
      </c>
      <c r="I762" s="19"/>
      <c r="J762" s="129"/>
      <c r="K762" s="41"/>
      <c r="L762" s="19"/>
      <c r="M762" s="122"/>
      <c r="N762" s="122"/>
      <c r="O762" s="24"/>
      <c r="P762" s="468"/>
      <c r="Q762" s="35"/>
      <c r="R762" s="19"/>
      <c r="S762" s="557"/>
      <c r="T762" s="2"/>
    </row>
    <row r="763" spans="1:20" s="1" customFormat="1" ht="121.5" customHeight="1" x14ac:dyDescent="0.35">
      <c r="A763" s="605"/>
      <c r="B763" s="541"/>
      <c r="C763" s="19" t="s">
        <v>122</v>
      </c>
      <c r="D763" s="41" t="s">
        <v>111</v>
      </c>
      <c r="E763" s="19" t="s">
        <v>18</v>
      </c>
      <c r="F763" s="19">
        <v>100</v>
      </c>
      <c r="G763" s="19">
        <v>100</v>
      </c>
      <c r="H763" s="24">
        <f>IF(G763/F763*100&gt;100,100,G763/F763*100)</f>
        <v>100</v>
      </c>
      <c r="I763" s="19"/>
      <c r="J763" s="129"/>
      <c r="K763" s="41"/>
      <c r="L763" s="19"/>
      <c r="M763" s="122"/>
      <c r="N763" s="122"/>
      <c r="O763" s="24"/>
      <c r="P763" s="468"/>
      <c r="Q763" s="35"/>
      <c r="R763" s="19"/>
      <c r="S763" s="557"/>
      <c r="T763" s="2"/>
    </row>
    <row r="764" spans="1:20" s="1" customFormat="1" ht="40.5" customHeight="1" x14ac:dyDescent="0.35">
      <c r="A764" s="605"/>
      <c r="B764" s="541"/>
      <c r="C764" s="465"/>
      <c r="D764" s="466" t="s">
        <v>644</v>
      </c>
      <c r="E764" s="465"/>
      <c r="F764" s="20"/>
      <c r="G764" s="20"/>
      <c r="H764" s="18"/>
      <c r="I764" s="18">
        <f>(H759+H760+H761+H762+H763)/5</f>
        <v>100</v>
      </c>
      <c r="J764" s="128"/>
      <c r="K764" s="466" t="s">
        <v>644</v>
      </c>
      <c r="L764" s="20"/>
      <c r="M764" s="124"/>
      <c r="N764" s="124"/>
      <c r="O764" s="18"/>
      <c r="P764" s="18">
        <f>O759</f>
        <v>94.444444444444443</v>
      </c>
      <c r="Q764" s="18">
        <f>(I764+P764)/2</f>
        <v>97.222222222222229</v>
      </c>
      <c r="R764" s="465" t="s">
        <v>112</v>
      </c>
      <c r="S764" s="557"/>
      <c r="T764" s="2"/>
    </row>
    <row r="765" spans="1:20" s="1" customFormat="1" ht="39.75" customHeight="1" x14ac:dyDescent="0.35">
      <c r="A765" s="605"/>
      <c r="B765" s="541"/>
      <c r="C765" s="454" t="s">
        <v>123</v>
      </c>
      <c r="D765" s="59" t="s">
        <v>27</v>
      </c>
      <c r="E765" s="19"/>
      <c r="F765" s="19"/>
      <c r="G765" s="19"/>
      <c r="H765" s="35"/>
      <c r="I765" s="35"/>
      <c r="J765" s="454" t="s">
        <v>123</v>
      </c>
      <c r="K765" s="59" t="s">
        <v>27</v>
      </c>
      <c r="L765" s="19"/>
      <c r="M765" s="122"/>
      <c r="N765" s="122"/>
      <c r="O765" s="35"/>
      <c r="P765" s="468"/>
      <c r="Q765" s="35"/>
      <c r="R765" s="19"/>
      <c r="S765" s="557"/>
      <c r="T765" s="2"/>
    </row>
    <row r="766" spans="1:20" s="1" customFormat="1" ht="60" customHeight="1" x14ac:dyDescent="0.35">
      <c r="A766" s="605"/>
      <c r="B766" s="541"/>
      <c r="C766" s="19" t="s">
        <v>124</v>
      </c>
      <c r="D766" s="41" t="s">
        <v>125</v>
      </c>
      <c r="E766" s="19" t="s">
        <v>18</v>
      </c>
      <c r="F766" s="19">
        <v>100</v>
      </c>
      <c r="G766" s="19">
        <v>100</v>
      </c>
      <c r="H766" s="24">
        <f>IF(G766/F766*100&gt;100,100,G766/F766*100)</f>
        <v>100</v>
      </c>
      <c r="I766" s="19"/>
      <c r="J766" s="129" t="s">
        <v>124</v>
      </c>
      <c r="K766" s="41" t="s">
        <v>106</v>
      </c>
      <c r="L766" s="19" t="s">
        <v>20</v>
      </c>
      <c r="M766" s="19">
        <v>173</v>
      </c>
      <c r="N766" s="19">
        <v>171</v>
      </c>
      <c r="O766" s="24">
        <f>IF(N766/M766*100&gt;110,110,N766/M766*100)</f>
        <v>98.843930635838149</v>
      </c>
      <c r="P766" s="468"/>
      <c r="Q766" s="35"/>
      <c r="R766" s="19"/>
      <c r="S766" s="557"/>
      <c r="T766" s="2"/>
    </row>
    <row r="767" spans="1:20" s="1" customFormat="1" ht="92.25" customHeight="1" x14ac:dyDescent="0.35">
      <c r="A767" s="605"/>
      <c r="B767" s="541"/>
      <c r="C767" s="19" t="s">
        <v>127</v>
      </c>
      <c r="D767" s="41" t="s">
        <v>128</v>
      </c>
      <c r="E767" s="19" t="s">
        <v>18</v>
      </c>
      <c r="F767" s="19">
        <v>90</v>
      </c>
      <c r="G767" s="19">
        <v>90</v>
      </c>
      <c r="H767" s="24">
        <f>IF(G767/F767*100&gt;100,100,G767/F767*100)</f>
        <v>100</v>
      </c>
      <c r="I767" s="19"/>
      <c r="J767" s="129"/>
      <c r="K767" s="41"/>
      <c r="L767" s="19"/>
      <c r="M767" s="122"/>
      <c r="N767" s="122"/>
      <c r="O767" s="24"/>
      <c r="P767" s="468"/>
      <c r="Q767" s="35"/>
      <c r="R767" s="19"/>
      <c r="S767" s="557"/>
      <c r="T767" s="2"/>
    </row>
    <row r="768" spans="1:20" s="1" customFormat="1" ht="40.5" customHeight="1" x14ac:dyDescent="0.35">
      <c r="A768" s="605"/>
      <c r="B768" s="541"/>
      <c r="C768" s="465"/>
      <c r="D768" s="466" t="s">
        <v>644</v>
      </c>
      <c r="E768" s="465"/>
      <c r="F768" s="20"/>
      <c r="G768" s="20"/>
      <c r="H768" s="18"/>
      <c r="I768" s="18">
        <f>(H766+H767)/2</f>
        <v>100</v>
      </c>
      <c r="J768" s="128"/>
      <c r="K768" s="466" t="s">
        <v>644</v>
      </c>
      <c r="L768" s="20"/>
      <c r="M768" s="124"/>
      <c r="N768" s="124"/>
      <c r="O768" s="18"/>
      <c r="P768" s="18">
        <f>O766</f>
        <v>98.843930635838149</v>
      </c>
      <c r="Q768" s="18">
        <f>(I768+P768)/2</f>
        <v>99.421965317919074</v>
      </c>
      <c r="R768" s="465" t="s">
        <v>112</v>
      </c>
      <c r="S768" s="557"/>
      <c r="T768" s="2"/>
    </row>
    <row r="769" spans="1:20" s="1" customFormat="1" ht="46.5" customHeight="1" x14ac:dyDescent="0.35">
      <c r="A769" s="605"/>
      <c r="B769" s="541"/>
      <c r="C769" s="454" t="s">
        <v>129</v>
      </c>
      <c r="D769" s="59" t="s">
        <v>130</v>
      </c>
      <c r="E769" s="19"/>
      <c r="F769" s="19"/>
      <c r="G769" s="19"/>
      <c r="H769" s="35"/>
      <c r="I769" s="35"/>
      <c r="J769" s="454" t="s">
        <v>129</v>
      </c>
      <c r="K769" s="59" t="str">
        <f>D769</f>
        <v>Реализация дополнительных общеразвивающих программ</v>
      </c>
      <c r="L769" s="19"/>
      <c r="M769" s="122"/>
      <c r="N769" s="122"/>
      <c r="O769" s="35"/>
      <c r="P769" s="468"/>
      <c r="Q769" s="35"/>
      <c r="R769" s="19"/>
      <c r="S769" s="557"/>
      <c r="T769" s="2"/>
    </row>
    <row r="770" spans="1:20" s="1" customFormat="1" ht="73.5" customHeight="1" x14ac:dyDescent="0.35">
      <c r="A770" s="605"/>
      <c r="B770" s="541"/>
      <c r="C770" s="19" t="s">
        <v>131</v>
      </c>
      <c r="D770" s="41" t="s">
        <v>128</v>
      </c>
      <c r="E770" s="19" t="s">
        <v>18</v>
      </c>
      <c r="F770" s="19">
        <v>90</v>
      </c>
      <c r="G770" s="19">
        <v>90</v>
      </c>
      <c r="H770" s="24">
        <f>IF(G770/F770*100&gt;100,100,G770/F770*100)</f>
        <v>100</v>
      </c>
      <c r="I770" s="19"/>
      <c r="J770" s="129" t="s">
        <v>131</v>
      </c>
      <c r="K770" s="41" t="s">
        <v>136</v>
      </c>
      <c r="L770" s="19" t="s">
        <v>133</v>
      </c>
      <c r="M770" s="19">
        <v>61689.599999999999</v>
      </c>
      <c r="N770" s="19">
        <v>62532</v>
      </c>
      <c r="O770" s="24">
        <f>IF(N770/M770*100&gt;110,110,N770/M770*100)</f>
        <v>101.3655462184874</v>
      </c>
      <c r="P770" s="468"/>
      <c r="Q770" s="35"/>
      <c r="R770" s="19"/>
      <c r="S770" s="557"/>
      <c r="T770" s="2"/>
    </row>
    <row r="771" spans="1:20" s="1" customFormat="1" ht="40.5" customHeight="1" x14ac:dyDescent="0.35">
      <c r="A771" s="605"/>
      <c r="B771" s="541"/>
      <c r="C771" s="465"/>
      <c r="D771" s="466" t="s">
        <v>644</v>
      </c>
      <c r="E771" s="465"/>
      <c r="F771" s="20"/>
      <c r="G771" s="20"/>
      <c r="H771" s="18"/>
      <c r="I771" s="18">
        <f>H770</f>
        <v>100</v>
      </c>
      <c r="J771" s="128"/>
      <c r="K771" s="466" t="s">
        <v>644</v>
      </c>
      <c r="L771" s="20"/>
      <c r="M771" s="124"/>
      <c r="N771" s="124"/>
      <c r="O771" s="18"/>
      <c r="P771" s="18">
        <f>O770</f>
        <v>101.3655462184874</v>
      </c>
      <c r="Q771" s="18">
        <f>(I771+P771)/2</f>
        <v>100.6827731092437</v>
      </c>
      <c r="R771" s="465" t="s">
        <v>25</v>
      </c>
      <c r="S771" s="557"/>
      <c r="T771" s="2"/>
    </row>
    <row r="772" spans="1:20" s="1" customFormat="1" ht="73.5" customHeight="1" x14ac:dyDescent="0.35">
      <c r="A772" s="605">
        <v>45</v>
      </c>
      <c r="B772" s="541" t="s">
        <v>160</v>
      </c>
      <c r="C772" s="454" t="s">
        <v>13</v>
      </c>
      <c r="D772" s="59" t="s">
        <v>103</v>
      </c>
      <c r="E772" s="454"/>
      <c r="F772" s="454"/>
      <c r="G772" s="454"/>
      <c r="H772" s="35"/>
      <c r="I772" s="35"/>
      <c r="J772" s="454" t="s">
        <v>13</v>
      </c>
      <c r="K772" s="59" t="s">
        <v>103</v>
      </c>
      <c r="L772" s="19"/>
      <c r="M772" s="19"/>
      <c r="N772" s="19"/>
      <c r="O772" s="35"/>
      <c r="P772" s="468"/>
      <c r="Q772" s="35"/>
      <c r="R772" s="19"/>
      <c r="S772" s="557" t="s">
        <v>104</v>
      </c>
      <c r="T772" s="2"/>
    </row>
    <row r="773" spans="1:20" s="1" customFormat="1" ht="69" customHeight="1" x14ac:dyDescent="0.35">
      <c r="A773" s="605"/>
      <c r="B773" s="541"/>
      <c r="C773" s="19" t="s">
        <v>16</v>
      </c>
      <c r="D773" s="41" t="s">
        <v>105</v>
      </c>
      <c r="E773" s="19" t="s">
        <v>18</v>
      </c>
      <c r="F773" s="19">
        <v>100</v>
      </c>
      <c r="G773" s="19">
        <v>100</v>
      </c>
      <c r="H773" s="24">
        <f>IF(G773/F773*100&gt;100,100,G773/F773*100)</f>
        <v>100</v>
      </c>
      <c r="I773" s="19"/>
      <c r="J773" s="19" t="s">
        <v>16</v>
      </c>
      <c r="K773" s="41" t="s">
        <v>106</v>
      </c>
      <c r="L773" s="19" t="s">
        <v>20</v>
      </c>
      <c r="M773" s="19">
        <v>222</v>
      </c>
      <c r="N773" s="19">
        <v>215</v>
      </c>
      <c r="O773" s="24">
        <f>IF(N773/M773*100&gt;110,110,N773/M773*100)</f>
        <v>96.846846846846844</v>
      </c>
      <c r="P773" s="468"/>
      <c r="Q773" s="35"/>
      <c r="R773" s="19"/>
      <c r="S773" s="557"/>
      <c r="T773" s="2"/>
    </row>
    <row r="774" spans="1:20" s="1" customFormat="1" ht="40.5" customHeight="1" x14ac:dyDescent="0.35">
      <c r="A774" s="605"/>
      <c r="B774" s="541"/>
      <c r="C774" s="19" t="s">
        <v>21</v>
      </c>
      <c r="D774" s="41" t="s">
        <v>135</v>
      </c>
      <c r="E774" s="19" t="s">
        <v>18</v>
      </c>
      <c r="F774" s="19">
        <v>100</v>
      </c>
      <c r="G774" s="19">
        <v>100</v>
      </c>
      <c r="H774" s="24">
        <f>IF(G774/F774*100&gt;100,100,G774/F774*100)</f>
        <v>100</v>
      </c>
      <c r="I774" s="19"/>
      <c r="J774" s="19"/>
      <c r="K774" s="455"/>
      <c r="L774" s="19"/>
      <c r="M774" s="476"/>
      <c r="N774" s="476"/>
      <c r="O774" s="24"/>
      <c r="P774" s="468"/>
      <c r="Q774" s="35"/>
      <c r="R774" s="19"/>
      <c r="S774" s="557"/>
      <c r="T774" s="2"/>
    </row>
    <row r="775" spans="1:20" s="1" customFormat="1" ht="57.75" customHeight="1" x14ac:dyDescent="0.35">
      <c r="A775" s="605"/>
      <c r="B775" s="541"/>
      <c r="C775" s="19" t="s">
        <v>23</v>
      </c>
      <c r="D775" s="41" t="s">
        <v>108</v>
      </c>
      <c r="E775" s="19" t="s">
        <v>18</v>
      </c>
      <c r="F775" s="19">
        <v>100</v>
      </c>
      <c r="G775" s="19">
        <v>100</v>
      </c>
      <c r="H775" s="24">
        <f>IF(G775/F775*100&gt;100,100,G775/F775*100)</f>
        <v>100</v>
      </c>
      <c r="I775" s="19"/>
      <c r="J775" s="129"/>
      <c r="K775" s="41"/>
      <c r="L775" s="19"/>
      <c r="M775" s="122"/>
      <c r="N775" s="122"/>
      <c r="O775" s="24"/>
      <c r="P775" s="468"/>
      <c r="Q775" s="35"/>
      <c r="R775" s="19"/>
      <c r="S775" s="557"/>
      <c r="T775" s="2"/>
    </row>
    <row r="776" spans="1:20" s="1" customFormat="1" ht="84" customHeight="1" x14ac:dyDescent="0.35">
      <c r="A776" s="605"/>
      <c r="B776" s="541"/>
      <c r="C776" s="19" t="s">
        <v>109</v>
      </c>
      <c r="D776" s="41" t="s">
        <v>17</v>
      </c>
      <c r="E776" s="19" t="s">
        <v>18</v>
      </c>
      <c r="F776" s="19">
        <v>90</v>
      </c>
      <c r="G776" s="19">
        <v>90</v>
      </c>
      <c r="H776" s="24">
        <f>IF(G776/F776*100&gt;100,100,G776/F776*100)</f>
        <v>100</v>
      </c>
      <c r="I776" s="19"/>
      <c r="J776" s="129"/>
      <c r="K776" s="41"/>
      <c r="L776" s="19"/>
      <c r="M776" s="122"/>
      <c r="N776" s="122"/>
      <c r="O776" s="24"/>
      <c r="P776" s="468"/>
      <c r="Q776" s="35"/>
      <c r="R776" s="19"/>
      <c r="S776" s="557"/>
      <c r="T776" s="2"/>
    </row>
    <row r="777" spans="1:20" s="1" customFormat="1" ht="112.5" customHeight="1" x14ac:dyDescent="0.35">
      <c r="A777" s="605"/>
      <c r="B777" s="541"/>
      <c r="C777" s="19" t="s">
        <v>110</v>
      </c>
      <c r="D777" s="41" t="s">
        <v>111</v>
      </c>
      <c r="E777" s="19" t="s">
        <v>18</v>
      </c>
      <c r="F777" s="19">
        <v>100</v>
      </c>
      <c r="G777" s="19">
        <v>100</v>
      </c>
      <c r="H777" s="24">
        <f>IF(G777/F777*100&gt;100,100,G777/F777*100)</f>
        <v>100</v>
      </c>
      <c r="I777" s="19"/>
      <c r="J777" s="129"/>
      <c r="K777" s="41"/>
      <c r="L777" s="19"/>
      <c r="M777" s="122"/>
      <c r="N777" s="122"/>
      <c r="O777" s="24"/>
      <c r="P777" s="468"/>
      <c r="Q777" s="35"/>
      <c r="R777" s="19"/>
      <c r="S777" s="557"/>
      <c r="T777" s="2"/>
    </row>
    <row r="778" spans="1:20" s="1" customFormat="1" ht="40.5" customHeight="1" x14ac:dyDescent="0.35">
      <c r="A778" s="605"/>
      <c r="B778" s="541"/>
      <c r="C778" s="465"/>
      <c r="D778" s="466" t="s">
        <v>644</v>
      </c>
      <c r="E778" s="465"/>
      <c r="F778" s="20"/>
      <c r="G778" s="20"/>
      <c r="H778" s="18"/>
      <c r="I778" s="18">
        <f>(H773+H774+H775+H776+H777)/5</f>
        <v>100</v>
      </c>
      <c r="J778" s="128"/>
      <c r="K778" s="466" t="s">
        <v>644</v>
      </c>
      <c r="L778" s="20"/>
      <c r="M778" s="124"/>
      <c r="N778" s="124"/>
      <c r="O778" s="18"/>
      <c r="P778" s="18">
        <f>O773</f>
        <v>96.846846846846844</v>
      </c>
      <c r="Q778" s="18">
        <f>(I778+P778)/2</f>
        <v>98.423423423423429</v>
      </c>
      <c r="R778" s="465" t="s">
        <v>112</v>
      </c>
      <c r="S778" s="557"/>
      <c r="T778" s="2"/>
    </row>
    <row r="779" spans="1:20" s="1" customFormat="1" ht="73.5" customHeight="1" x14ac:dyDescent="0.35">
      <c r="A779" s="605"/>
      <c r="B779" s="541"/>
      <c r="C779" s="454" t="s">
        <v>26</v>
      </c>
      <c r="D779" s="59" t="s">
        <v>113</v>
      </c>
      <c r="E779" s="19"/>
      <c r="F779" s="19"/>
      <c r="G779" s="19"/>
      <c r="H779" s="35"/>
      <c r="I779" s="35"/>
      <c r="J779" s="454" t="s">
        <v>26</v>
      </c>
      <c r="K779" s="59" t="s">
        <v>113</v>
      </c>
      <c r="L779" s="19"/>
      <c r="M779" s="122"/>
      <c r="N779" s="122"/>
      <c r="O779" s="35"/>
      <c r="P779" s="468"/>
      <c r="Q779" s="35"/>
      <c r="R779" s="19"/>
      <c r="S779" s="557"/>
      <c r="T779" s="2"/>
    </row>
    <row r="780" spans="1:20" s="1" customFormat="1" ht="73.5" customHeight="1" x14ac:dyDescent="0.35">
      <c r="A780" s="605"/>
      <c r="B780" s="541"/>
      <c r="C780" s="19" t="s">
        <v>28</v>
      </c>
      <c r="D780" s="41" t="s">
        <v>114</v>
      </c>
      <c r="E780" s="19" t="s">
        <v>18</v>
      </c>
      <c r="F780" s="19">
        <v>100</v>
      </c>
      <c r="G780" s="19">
        <v>100</v>
      </c>
      <c r="H780" s="24">
        <f>IF(G780/F780*100&gt;100,100,G780/F780*100)</f>
        <v>100</v>
      </c>
      <c r="I780" s="19"/>
      <c r="J780" s="129" t="s">
        <v>28</v>
      </c>
      <c r="K780" s="41" t="s">
        <v>106</v>
      </c>
      <c r="L780" s="19" t="s">
        <v>20</v>
      </c>
      <c r="M780" s="19">
        <v>289</v>
      </c>
      <c r="N780" s="19">
        <v>273</v>
      </c>
      <c r="O780" s="24">
        <f>IF(N780/M780*100&gt;110,110,N780/M780*100)</f>
        <v>94.463667820069205</v>
      </c>
      <c r="P780" s="19"/>
      <c r="Q780" s="35"/>
      <c r="R780" s="19"/>
      <c r="S780" s="557"/>
      <c r="T780" s="2"/>
    </row>
    <row r="781" spans="1:20" s="1" customFormat="1" ht="57" customHeight="1" x14ac:dyDescent="0.35">
      <c r="A781" s="605"/>
      <c r="B781" s="541"/>
      <c r="C781" s="19" t="s">
        <v>30</v>
      </c>
      <c r="D781" s="41" t="s">
        <v>115</v>
      </c>
      <c r="E781" s="19" t="s">
        <v>18</v>
      </c>
      <c r="F781" s="19">
        <v>100</v>
      </c>
      <c r="G781" s="19">
        <v>100</v>
      </c>
      <c r="H781" s="24">
        <f>IF(G781/F781*100&gt;100,100,G781/F781*100)</f>
        <v>100</v>
      </c>
      <c r="I781" s="19"/>
      <c r="J781" s="129"/>
      <c r="K781" s="41"/>
      <c r="L781" s="19"/>
      <c r="M781" s="122"/>
      <c r="N781" s="122"/>
      <c r="O781" s="24"/>
      <c r="P781" s="468"/>
      <c r="Q781" s="35"/>
      <c r="R781" s="19"/>
      <c r="S781" s="557"/>
      <c r="T781" s="2"/>
    </row>
    <row r="782" spans="1:20" s="1" customFormat="1" ht="59.25" customHeight="1" x14ac:dyDescent="0.35">
      <c r="A782" s="605"/>
      <c r="B782" s="541"/>
      <c r="C782" s="19" t="s">
        <v>34</v>
      </c>
      <c r="D782" s="41" t="s">
        <v>108</v>
      </c>
      <c r="E782" s="19" t="s">
        <v>18</v>
      </c>
      <c r="F782" s="19">
        <v>100</v>
      </c>
      <c r="G782" s="19">
        <v>100</v>
      </c>
      <c r="H782" s="24">
        <f>IF(G782/F782*100&gt;100,100,G782/F782*100)</f>
        <v>100</v>
      </c>
      <c r="I782" s="19"/>
      <c r="J782" s="129"/>
      <c r="K782" s="41"/>
      <c r="L782" s="19"/>
      <c r="M782" s="122"/>
      <c r="N782" s="122"/>
      <c r="O782" s="24"/>
      <c r="P782" s="468"/>
      <c r="Q782" s="35"/>
      <c r="R782" s="19"/>
      <c r="S782" s="557"/>
      <c r="T782" s="2"/>
    </row>
    <row r="783" spans="1:20" s="1" customFormat="1" ht="73.5" customHeight="1" x14ac:dyDescent="0.35">
      <c r="A783" s="605"/>
      <c r="B783" s="541"/>
      <c r="C783" s="19" t="s">
        <v>78</v>
      </c>
      <c r="D783" s="41" t="s">
        <v>17</v>
      </c>
      <c r="E783" s="19" t="s">
        <v>18</v>
      </c>
      <c r="F783" s="19">
        <v>90</v>
      </c>
      <c r="G783" s="19">
        <v>90</v>
      </c>
      <c r="H783" s="24">
        <f>IF(G783/F783*100&gt;100,100,G783/F783*100)</f>
        <v>100</v>
      </c>
      <c r="I783" s="19"/>
      <c r="J783" s="129"/>
      <c r="K783" s="41"/>
      <c r="L783" s="19"/>
      <c r="M783" s="122"/>
      <c r="N783" s="122"/>
      <c r="O783" s="24"/>
      <c r="P783" s="468"/>
      <c r="Q783" s="35"/>
      <c r="R783" s="19"/>
      <c r="S783" s="557"/>
      <c r="T783" s="2"/>
    </row>
    <row r="784" spans="1:20" s="1" customFormat="1" ht="108.75" customHeight="1" x14ac:dyDescent="0.35">
      <c r="A784" s="605"/>
      <c r="B784" s="541"/>
      <c r="C784" s="19" t="s">
        <v>79</v>
      </c>
      <c r="D784" s="41" t="s">
        <v>111</v>
      </c>
      <c r="E784" s="19" t="s">
        <v>18</v>
      </c>
      <c r="F784" s="19">
        <v>100</v>
      </c>
      <c r="G784" s="19">
        <v>100</v>
      </c>
      <c r="H784" s="24">
        <f>IF(G784/F784*100&gt;100,100,G784/F784*100)</f>
        <v>100</v>
      </c>
      <c r="I784" s="19"/>
      <c r="J784" s="129"/>
      <c r="K784" s="41"/>
      <c r="L784" s="19"/>
      <c r="M784" s="122"/>
      <c r="N784" s="122"/>
      <c r="O784" s="24"/>
      <c r="P784" s="468"/>
      <c r="Q784" s="35"/>
      <c r="R784" s="19"/>
      <c r="S784" s="557"/>
      <c r="T784" s="2"/>
    </row>
    <row r="785" spans="1:20" s="1" customFormat="1" ht="40.5" customHeight="1" x14ac:dyDescent="0.35">
      <c r="A785" s="605"/>
      <c r="B785" s="541"/>
      <c r="C785" s="465"/>
      <c r="D785" s="466" t="s">
        <v>644</v>
      </c>
      <c r="E785" s="465"/>
      <c r="F785" s="20"/>
      <c r="G785" s="20"/>
      <c r="H785" s="18"/>
      <c r="I785" s="18">
        <f>(H780+H781+H782+H783+H784)/5</f>
        <v>100</v>
      </c>
      <c r="J785" s="128"/>
      <c r="K785" s="466" t="s">
        <v>644</v>
      </c>
      <c r="L785" s="20"/>
      <c r="M785" s="124"/>
      <c r="N785" s="124"/>
      <c r="O785" s="18"/>
      <c r="P785" s="18">
        <f>O780</f>
        <v>94.463667820069205</v>
      </c>
      <c r="Q785" s="18">
        <f>(I785+P785)/2</f>
        <v>97.231833910034595</v>
      </c>
      <c r="R785" s="465" t="s">
        <v>112</v>
      </c>
      <c r="S785" s="557"/>
      <c r="T785" s="2"/>
    </row>
    <row r="786" spans="1:20" s="1" customFormat="1" ht="73.5" customHeight="1" x14ac:dyDescent="0.35">
      <c r="A786" s="605"/>
      <c r="B786" s="541"/>
      <c r="C786" s="454" t="s">
        <v>36</v>
      </c>
      <c r="D786" s="59" t="s">
        <v>116</v>
      </c>
      <c r="E786" s="19"/>
      <c r="F786" s="19"/>
      <c r="G786" s="19"/>
      <c r="H786" s="35"/>
      <c r="I786" s="35"/>
      <c r="J786" s="454" t="s">
        <v>36</v>
      </c>
      <c r="K786" s="59" t="str">
        <f>D786</f>
        <v>Реализация основных общеобразовательных программ среднего общего образования</v>
      </c>
      <c r="L786" s="19"/>
      <c r="M786" s="122"/>
      <c r="N786" s="122"/>
      <c r="O786" s="35"/>
      <c r="P786" s="468"/>
      <c r="Q786" s="35"/>
      <c r="R786" s="19"/>
      <c r="S786" s="557"/>
      <c r="T786" s="2"/>
    </row>
    <row r="787" spans="1:20" s="1" customFormat="1" ht="73.5" customHeight="1" x14ac:dyDescent="0.35">
      <c r="A787" s="605"/>
      <c r="B787" s="541"/>
      <c r="C787" s="19" t="s">
        <v>38</v>
      </c>
      <c r="D787" s="41" t="s">
        <v>117</v>
      </c>
      <c r="E787" s="19" t="s">
        <v>18</v>
      </c>
      <c r="F787" s="19">
        <v>100</v>
      </c>
      <c r="G787" s="19">
        <v>100</v>
      </c>
      <c r="H787" s="24">
        <f>IF(G787/F787*100&gt;100,100,G787/F787*100)</f>
        <v>100</v>
      </c>
      <c r="I787" s="19"/>
      <c r="J787" s="129" t="s">
        <v>38</v>
      </c>
      <c r="K787" s="41" t="s">
        <v>106</v>
      </c>
      <c r="L787" s="19" t="s">
        <v>20</v>
      </c>
      <c r="M787" s="19">
        <v>59</v>
      </c>
      <c r="N787" s="19">
        <v>56</v>
      </c>
      <c r="O787" s="24">
        <f>IF(N787/M787*100&gt;110,110,N787/M787*100)</f>
        <v>94.915254237288138</v>
      </c>
      <c r="P787" s="19"/>
      <c r="Q787" s="35"/>
      <c r="R787" s="19"/>
      <c r="S787" s="557"/>
      <c r="T787" s="2"/>
    </row>
    <row r="788" spans="1:20" s="1" customFormat="1" ht="51" customHeight="1" x14ac:dyDescent="0.35">
      <c r="A788" s="605"/>
      <c r="B788" s="541"/>
      <c r="C788" s="19" t="s">
        <v>118</v>
      </c>
      <c r="D788" s="41" t="s">
        <v>119</v>
      </c>
      <c r="E788" s="19" t="s">
        <v>18</v>
      </c>
      <c r="F788" s="19">
        <v>100</v>
      </c>
      <c r="G788" s="19">
        <v>100</v>
      </c>
      <c r="H788" s="24">
        <f>IF(G788/F788*100&gt;100,100,G788/F788*100)</f>
        <v>100</v>
      </c>
      <c r="I788" s="19"/>
      <c r="J788" s="129"/>
      <c r="K788" s="41"/>
      <c r="L788" s="19"/>
      <c r="M788" s="122"/>
      <c r="N788" s="122"/>
      <c r="O788" s="24"/>
      <c r="P788" s="468"/>
      <c r="Q788" s="35"/>
      <c r="R788" s="19"/>
      <c r="S788" s="557"/>
      <c r="T788" s="2"/>
    </row>
    <row r="789" spans="1:20" s="1" customFormat="1" ht="63" customHeight="1" x14ac:dyDescent="0.35">
      <c r="A789" s="605"/>
      <c r="B789" s="541"/>
      <c r="C789" s="19" t="s">
        <v>120</v>
      </c>
      <c r="D789" s="41" t="s">
        <v>108</v>
      </c>
      <c r="E789" s="19" t="s">
        <v>18</v>
      </c>
      <c r="F789" s="19">
        <v>100</v>
      </c>
      <c r="G789" s="19">
        <v>100</v>
      </c>
      <c r="H789" s="24">
        <f>IF(G789/F789*100&gt;100,100,G789/F789*100)</f>
        <v>100</v>
      </c>
      <c r="I789" s="19"/>
      <c r="J789" s="129"/>
      <c r="K789" s="41"/>
      <c r="L789" s="19"/>
      <c r="M789" s="122"/>
      <c r="N789" s="122"/>
      <c r="O789" s="24"/>
      <c r="P789" s="468"/>
      <c r="Q789" s="35"/>
      <c r="R789" s="19"/>
      <c r="S789" s="557"/>
      <c r="T789" s="2"/>
    </row>
    <row r="790" spans="1:20" s="1" customFormat="1" ht="73.5" customHeight="1" x14ac:dyDescent="0.35">
      <c r="A790" s="605"/>
      <c r="B790" s="541"/>
      <c r="C790" s="19" t="s">
        <v>121</v>
      </c>
      <c r="D790" s="41" t="s">
        <v>17</v>
      </c>
      <c r="E790" s="19" t="s">
        <v>18</v>
      </c>
      <c r="F790" s="19">
        <v>90</v>
      </c>
      <c r="G790" s="19">
        <v>90</v>
      </c>
      <c r="H790" s="24">
        <f>IF(G790/F790*100&gt;100,100,G790/F790*100)</f>
        <v>100</v>
      </c>
      <c r="I790" s="19"/>
      <c r="J790" s="129"/>
      <c r="K790" s="41"/>
      <c r="L790" s="19"/>
      <c r="M790" s="122"/>
      <c r="N790" s="122"/>
      <c r="O790" s="24"/>
      <c r="P790" s="468"/>
      <c r="Q790" s="35"/>
      <c r="R790" s="19"/>
      <c r="S790" s="557"/>
      <c r="T790" s="2"/>
    </row>
    <row r="791" spans="1:20" s="1" customFormat="1" ht="116.25" customHeight="1" x14ac:dyDescent="0.35">
      <c r="A791" s="605"/>
      <c r="B791" s="541"/>
      <c r="C791" s="19" t="s">
        <v>122</v>
      </c>
      <c r="D791" s="41" t="s">
        <v>111</v>
      </c>
      <c r="E791" s="19" t="s">
        <v>18</v>
      </c>
      <c r="F791" s="19">
        <v>100</v>
      </c>
      <c r="G791" s="19">
        <v>100</v>
      </c>
      <c r="H791" s="24">
        <f>IF(G791/F791*100&gt;100,100,G791/F791*100)</f>
        <v>100</v>
      </c>
      <c r="I791" s="19"/>
      <c r="J791" s="129"/>
      <c r="K791" s="41"/>
      <c r="L791" s="19"/>
      <c r="M791" s="122"/>
      <c r="N791" s="122"/>
      <c r="O791" s="24"/>
      <c r="P791" s="468"/>
      <c r="Q791" s="35"/>
      <c r="R791" s="19"/>
      <c r="S791" s="557"/>
      <c r="T791" s="2"/>
    </row>
    <row r="792" spans="1:20" s="1" customFormat="1" ht="40.5" customHeight="1" x14ac:dyDescent="0.35">
      <c r="A792" s="605"/>
      <c r="B792" s="541"/>
      <c r="C792" s="465"/>
      <c r="D792" s="466" t="s">
        <v>644</v>
      </c>
      <c r="E792" s="465"/>
      <c r="F792" s="20"/>
      <c r="G792" s="20"/>
      <c r="H792" s="18"/>
      <c r="I792" s="18">
        <f>(H787+H788+H789+H790+H791)/5</f>
        <v>100</v>
      </c>
      <c r="J792" s="128"/>
      <c r="K792" s="466" t="s">
        <v>644</v>
      </c>
      <c r="L792" s="20"/>
      <c r="M792" s="124"/>
      <c r="N792" s="124"/>
      <c r="O792" s="18"/>
      <c r="P792" s="18">
        <f>O787</f>
        <v>94.915254237288138</v>
      </c>
      <c r="Q792" s="18">
        <f>(I792+P792)/2</f>
        <v>97.457627118644069</v>
      </c>
      <c r="R792" s="465" t="s">
        <v>112</v>
      </c>
      <c r="S792" s="557"/>
      <c r="T792" s="2"/>
    </row>
    <row r="793" spans="1:20" s="1" customFormat="1" ht="51" customHeight="1" x14ac:dyDescent="0.35">
      <c r="A793" s="605"/>
      <c r="B793" s="541"/>
      <c r="C793" s="454" t="s">
        <v>123</v>
      </c>
      <c r="D793" s="59" t="s">
        <v>27</v>
      </c>
      <c r="E793" s="19"/>
      <c r="F793" s="19"/>
      <c r="G793" s="19"/>
      <c r="H793" s="35"/>
      <c r="I793" s="35"/>
      <c r="J793" s="454" t="s">
        <v>123</v>
      </c>
      <c r="K793" s="59" t="s">
        <v>27</v>
      </c>
      <c r="L793" s="19"/>
      <c r="M793" s="122"/>
      <c r="N793" s="122"/>
      <c r="O793" s="35"/>
      <c r="P793" s="468"/>
      <c r="Q793" s="35"/>
      <c r="R793" s="19"/>
      <c r="S793" s="557"/>
      <c r="T793" s="2"/>
    </row>
    <row r="794" spans="1:20" s="1" customFormat="1" ht="55.5" customHeight="1" x14ac:dyDescent="0.35">
      <c r="A794" s="605"/>
      <c r="B794" s="541"/>
      <c r="C794" s="19" t="s">
        <v>124</v>
      </c>
      <c r="D794" s="41" t="s">
        <v>125</v>
      </c>
      <c r="E794" s="19" t="s">
        <v>18</v>
      </c>
      <c r="F794" s="19">
        <v>100</v>
      </c>
      <c r="G794" s="19">
        <v>100</v>
      </c>
      <c r="H794" s="24">
        <f>IF(G794/F794*100&gt;100,100,G794/F794*100)</f>
        <v>100</v>
      </c>
      <c r="I794" s="19"/>
      <c r="J794" s="129" t="s">
        <v>124</v>
      </c>
      <c r="K794" s="41" t="s">
        <v>106</v>
      </c>
      <c r="L794" s="19" t="s">
        <v>20</v>
      </c>
      <c r="M794" s="19">
        <v>210</v>
      </c>
      <c r="N794" s="19">
        <v>210</v>
      </c>
      <c r="O794" s="24">
        <f>IF(N794/M794*100&gt;110,110,N794/M794*100)</f>
        <v>100</v>
      </c>
      <c r="P794" s="468"/>
      <c r="Q794" s="35"/>
      <c r="R794" s="19"/>
      <c r="S794" s="557"/>
      <c r="T794" s="2"/>
    </row>
    <row r="795" spans="1:20" s="1" customFormat="1" ht="73.5" customHeight="1" x14ac:dyDescent="0.35">
      <c r="A795" s="605"/>
      <c r="B795" s="541"/>
      <c r="C795" s="19" t="s">
        <v>127</v>
      </c>
      <c r="D795" s="41" t="s">
        <v>128</v>
      </c>
      <c r="E795" s="19" t="s">
        <v>18</v>
      </c>
      <c r="F795" s="19">
        <v>90</v>
      </c>
      <c r="G795" s="19">
        <v>90</v>
      </c>
      <c r="H795" s="24">
        <f>IF(G795/F795*100&gt;100,100,G795/F795*100)</f>
        <v>100</v>
      </c>
      <c r="I795" s="19"/>
      <c r="J795" s="129"/>
      <c r="K795" s="41"/>
      <c r="L795" s="19"/>
      <c r="M795" s="122"/>
      <c r="N795" s="122"/>
      <c r="O795" s="24"/>
      <c r="P795" s="468"/>
      <c r="Q795" s="35"/>
      <c r="R795" s="19"/>
      <c r="S795" s="557"/>
      <c r="T795" s="2"/>
    </row>
    <row r="796" spans="1:20" s="1" customFormat="1" ht="40.5" customHeight="1" x14ac:dyDescent="0.35">
      <c r="A796" s="605"/>
      <c r="B796" s="541"/>
      <c r="C796" s="465"/>
      <c r="D796" s="466" t="s">
        <v>644</v>
      </c>
      <c r="E796" s="465"/>
      <c r="F796" s="20"/>
      <c r="G796" s="20"/>
      <c r="H796" s="18"/>
      <c r="I796" s="18">
        <f>(H794+H795)/2</f>
        <v>100</v>
      </c>
      <c r="J796" s="128"/>
      <c r="K796" s="466" t="s">
        <v>644</v>
      </c>
      <c r="L796" s="20"/>
      <c r="M796" s="124"/>
      <c r="N796" s="124"/>
      <c r="O796" s="18"/>
      <c r="P796" s="18">
        <f>O794</f>
        <v>100</v>
      </c>
      <c r="Q796" s="18">
        <f>(I796+P796)/2</f>
        <v>100</v>
      </c>
      <c r="R796" s="465" t="s">
        <v>25</v>
      </c>
      <c r="S796" s="557"/>
      <c r="T796" s="2"/>
    </row>
    <row r="797" spans="1:20" s="1" customFormat="1" ht="251.25" customHeight="1" x14ac:dyDescent="0.35">
      <c r="A797" s="605"/>
      <c r="B797" s="541"/>
      <c r="C797" s="454" t="s">
        <v>129</v>
      </c>
      <c r="D797" s="59" t="s">
        <v>274</v>
      </c>
      <c r="E797" s="454"/>
      <c r="F797" s="454"/>
      <c r="G797" s="454"/>
      <c r="H797" s="35"/>
      <c r="I797" s="35"/>
      <c r="J797" s="454" t="s">
        <v>129</v>
      </c>
      <c r="K797" s="59" t="s">
        <v>274</v>
      </c>
      <c r="L797" s="19"/>
      <c r="M797" s="19"/>
      <c r="N797" s="19"/>
      <c r="O797" s="35"/>
      <c r="P797" s="468"/>
      <c r="Q797" s="35"/>
      <c r="R797" s="19"/>
      <c r="S797" s="557"/>
      <c r="T797" s="2"/>
    </row>
    <row r="798" spans="1:20" s="1" customFormat="1" ht="78" customHeight="1" x14ac:dyDescent="0.35">
      <c r="A798" s="605"/>
      <c r="B798" s="541"/>
      <c r="C798" s="19" t="s">
        <v>131</v>
      </c>
      <c r="D798" s="41" t="s">
        <v>17</v>
      </c>
      <c r="E798" s="19" t="s">
        <v>18</v>
      </c>
      <c r="F798" s="19">
        <v>90</v>
      </c>
      <c r="G798" s="19">
        <v>90</v>
      </c>
      <c r="H798" s="24">
        <f>IF(G798/F798*100&gt;100,100,G798/F798*100)</f>
        <v>100</v>
      </c>
      <c r="I798" s="19"/>
      <c r="J798" s="19" t="s">
        <v>131</v>
      </c>
      <c r="K798" s="41" t="s">
        <v>273</v>
      </c>
      <c r="L798" s="19" t="s">
        <v>41</v>
      </c>
      <c r="M798" s="19">
        <v>30</v>
      </c>
      <c r="N798" s="19">
        <v>30</v>
      </c>
      <c r="O798" s="24">
        <f>IF(N798/M798*100&gt;110,110,N798/M798*100)</f>
        <v>100</v>
      </c>
      <c r="P798" s="468"/>
      <c r="Q798" s="35"/>
      <c r="R798" s="19"/>
      <c r="S798" s="557"/>
      <c r="T798" s="2"/>
    </row>
    <row r="799" spans="1:20" s="1" customFormat="1" ht="53.25" customHeight="1" x14ac:dyDescent="0.35">
      <c r="A799" s="605"/>
      <c r="B799" s="541"/>
      <c r="C799" s="465"/>
      <c r="D799" s="466" t="s">
        <v>644</v>
      </c>
      <c r="E799" s="465"/>
      <c r="F799" s="20"/>
      <c r="G799" s="20"/>
      <c r="H799" s="18"/>
      <c r="I799" s="18">
        <f>H798</f>
        <v>100</v>
      </c>
      <c r="J799" s="128"/>
      <c r="K799" s="466" t="s">
        <v>644</v>
      </c>
      <c r="L799" s="20"/>
      <c r="M799" s="124"/>
      <c r="N799" s="124"/>
      <c r="O799" s="18"/>
      <c r="P799" s="18">
        <f>O798</f>
        <v>100</v>
      </c>
      <c r="Q799" s="18">
        <f>(I799+P799)/2</f>
        <v>100</v>
      </c>
      <c r="R799" s="465" t="s">
        <v>25</v>
      </c>
      <c r="S799" s="557"/>
      <c r="T799" s="2"/>
    </row>
    <row r="800" spans="1:20" s="1" customFormat="1" ht="54" customHeight="1" x14ac:dyDescent="0.35">
      <c r="A800" s="605"/>
      <c r="B800" s="541"/>
      <c r="C800" s="454" t="s">
        <v>140</v>
      </c>
      <c r="D800" s="59" t="s">
        <v>130</v>
      </c>
      <c r="E800" s="19"/>
      <c r="F800" s="19"/>
      <c r="G800" s="19"/>
      <c r="H800" s="35"/>
      <c r="I800" s="35"/>
      <c r="J800" s="454" t="s">
        <v>140</v>
      </c>
      <c r="K800" s="59" t="str">
        <f>D800</f>
        <v>Реализация дополнительных общеразвивающих программ</v>
      </c>
      <c r="L800" s="19"/>
      <c r="M800" s="122"/>
      <c r="N800" s="122"/>
      <c r="O800" s="35"/>
      <c r="P800" s="468"/>
      <c r="Q800" s="35"/>
      <c r="R800" s="454"/>
      <c r="S800" s="557"/>
      <c r="T800" s="2"/>
    </row>
    <row r="801" spans="1:20" s="1" customFormat="1" ht="106.5" customHeight="1" x14ac:dyDescent="0.35">
      <c r="A801" s="605"/>
      <c r="B801" s="541"/>
      <c r="C801" s="19" t="s">
        <v>142</v>
      </c>
      <c r="D801" s="41" t="s">
        <v>128</v>
      </c>
      <c r="E801" s="19" t="s">
        <v>18</v>
      </c>
      <c r="F801" s="19">
        <v>90</v>
      </c>
      <c r="G801" s="19">
        <v>90</v>
      </c>
      <c r="H801" s="24">
        <f>IF(G801/F801*100&gt;100,100,G801/F801*100)</f>
        <v>100</v>
      </c>
      <c r="I801" s="19"/>
      <c r="J801" s="129" t="s">
        <v>142</v>
      </c>
      <c r="K801" s="41" t="s">
        <v>136</v>
      </c>
      <c r="L801" s="19" t="s">
        <v>139</v>
      </c>
      <c r="M801" s="19">
        <v>51408</v>
      </c>
      <c r="N801" s="19">
        <v>51336</v>
      </c>
      <c r="O801" s="24">
        <f>IF(N801/M801*100&gt;110,110,N801/M801*100)</f>
        <v>99.85994397759103</v>
      </c>
      <c r="P801" s="468"/>
      <c r="Q801" s="35"/>
      <c r="R801" s="19"/>
      <c r="S801" s="557"/>
      <c r="T801" s="2"/>
    </row>
    <row r="802" spans="1:20" s="1" customFormat="1" ht="54" customHeight="1" x14ac:dyDescent="0.35">
      <c r="A802" s="605"/>
      <c r="B802" s="541"/>
      <c r="C802" s="465"/>
      <c r="D802" s="466" t="s">
        <v>644</v>
      </c>
      <c r="E802" s="465"/>
      <c r="F802" s="20"/>
      <c r="G802" s="20"/>
      <c r="H802" s="18"/>
      <c r="I802" s="18">
        <f>H801</f>
        <v>100</v>
      </c>
      <c r="J802" s="128"/>
      <c r="K802" s="466" t="s">
        <v>644</v>
      </c>
      <c r="L802" s="20"/>
      <c r="M802" s="124"/>
      <c r="N802" s="124"/>
      <c r="O802" s="18"/>
      <c r="P802" s="18">
        <f>O801</f>
        <v>99.85994397759103</v>
      </c>
      <c r="Q802" s="18">
        <f>(I802+P802)/2</f>
        <v>99.929971988795515</v>
      </c>
      <c r="R802" s="465" t="s">
        <v>112</v>
      </c>
      <c r="S802" s="557"/>
      <c r="T802" s="2"/>
    </row>
    <row r="803" spans="1:20" s="1" customFormat="1" ht="88.5" customHeight="1" x14ac:dyDescent="0.35">
      <c r="A803" s="605"/>
      <c r="B803" s="541"/>
      <c r="C803" s="454" t="s">
        <v>144</v>
      </c>
      <c r="D803" s="59" t="s">
        <v>161</v>
      </c>
      <c r="E803" s="19"/>
      <c r="F803" s="19"/>
      <c r="G803" s="19"/>
      <c r="H803" s="35"/>
      <c r="I803" s="35"/>
      <c r="J803" s="454" t="s">
        <v>144</v>
      </c>
      <c r="K803" s="59" t="str">
        <f>D803</f>
        <v>Научно-методическое и ресурсное обеспечение системы образования</v>
      </c>
      <c r="L803" s="19"/>
      <c r="M803" s="19"/>
      <c r="N803" s="35"/>
      <c r="O803" s="35"/>
      <c r="P803" s="468"/>
      <c r="Q803" s="35"/>
      <c r="R803" s="19"/>
      <c r="S803" s="557"/>
      <c r="T803" s="2"/>
    </row>
    <row r="804" spans="1:20" s="1" customFormat="1" ht="204" customHeight="1" x14ac:dyDescent="0.35">
      <c r="A804" s="605"/>
      <c r="B804" s="541"/>
      <c r="C804" s="19" t="s">
        <v>146</v>
      </c>
      <c r="D804" s="41" t="s">
        <v>282</v>
      </c>
      <c r="E804" s="19" t="s">
        <v>18</v>
      </c>
      <c r="F804" s="19">
        <v>70</v>
      </c>
      <c r="G804" s="19">
        <v>70</v>
      </c>
      <c r="H804" s="24">
        <f>IF(G804/F804*100&gt;100,100,G804/F804*100)</f>
        <v>100</v>
      </c>
      <c r="I804" s="19"/>
      <c r="J804" s="129" t="s">
        <v>146</v>
      </c>
      <c r="K804" s="41" t="s">
        <v>281</v>
      </c>
      <c r="L804" s="19" t="s">
        <v>163</v>
      </c>
      <c r="M804" s="19">
        <v>3</v>
      </c>
      <c r="N804" s="19">
        <v>3</v>
      </c>
      <c r="O804" s="24">
        <f>IF(N804/M804*100&gt;110,110,N804/M804*100)</f>
        <v>100</v>
      </c>
      <c r="P804" s="468"/>
      <c r="Q804" s="35"/>
      <c r="R804" s="19"/>
      <c r="S804" s="557"/>
      <c r="T804" s="2"/>
    </row>
    <row r="805" spans="1:20" s="1" customFormat="1" ht="65.25" customHeight="1" x14ac:dyDescent="0.35">
      <c r="A805" s="605"/>
      <c r="B805" s="541"/>
      <c r="C805" s="465"/>
      <c r="D805" s="466" t="s">
        <v>644</v>
      </c>
      <c r="E805" s="465"/>
      <c r="F805" s="20"/>
      <c r="G805" s="20"/>
      <c r="H805" s="18"/>
      <c r="I805" s="18">
        <f>H804</f>
        <v>100</v>
      </c>
      <c r="J805" s="128"/>
      <c r="K805" s="466" t="s">
        <v>644</v>
      </c>
      <c r="L805" s="20"/>
      <c r="M805" s="124"/>
      <c r="N805" s="124"/>
      <c r="O805" s="18"/>
      <c r="P805" s="18">
        <f>O804</f>
        <v>100</v>
      </c>
      <c r="Q805" s="18">
        <f>(I805+P805)/2</f>
        <v>100</v>
      </c>
      <c r="R805" s="465" t="s">
        <v>25</v>
      </c>
      <c r="S805" s="557"/>
      <c r="T805" s="2"/>
    </row>
    <row r="806" spans="1:20" s="1" customFormat="1" ht="76.5" customHeight="1" x14ac:dyDescent="0.35">
      <c r="A806" s="605">
        <v>46</v>
      </c>
      <c r="B806" s="541" t="s">
        <v>164</v>
      </c>
      <c r="C806" s="454" t="s">
        <v>13</v>
      </c>
      <c r="D806" s="59" t="s">
        <v>103</v>
      </c>
      <c r="E806" s="454"/>
      <c r="F806" s="454"/>
      <c r="G806" s="454"/>
      <c r="H806" s="35"/>
      <c r="I806" s="35"/>
      <c r="J806" s="454" t="s">
        <v>13</v>
      </c>
      <c r="K806" s="59" t="s">
        <v>103</v>
      </c>
      <c r="L806" s="19"/>
      <c r="M806" s="19"/>
      <c r="N806" s="19"/>
      <c r="O806" s="35"/>
      <c r="P806" s="468"/>
      <c r="Q806" s="35"/>
      <c r="R806" s="19"/>
      <c r="S806" s="557" t="s">
        <v>15</v>
      </c>
      <c r="T806" s="2"/>
    </row>
    <row r="807" spans="1:20" s="1" customFormat="1" ht="66.75" customHeight="1" x14ac:dyDescent="0.35">
      <c r="A807" s="605"/>
      <c r="B807" s="541"/>
      <c r="C807" s="19" t="s">
        <v>16</v>
      </c>
      <c r="D807" s="41" t="s">
        <v>105</v>
      </c>
      <c r="E807" s="19" t="s">
        <v>18</v>
      </c>
      <c r="F807" s="19">
        <v>100</v>
      </c>
      <c r="G807" s="19">
        <v>100</v>
      </c>
      <c r="H807" s="24">
        <f>IF(G807/F807*100&gt;100,100,G807/F807*100)</f>
        <v>100</v>
      </c>
      <c r="I807" s="19"/>
      <c r="J807" s="19" t="s">
        <v>16</v>
      </c>
      <c r="K807" s="41" t="s">
        <v>106</v>
      </c>
      <c r="L807" s="19" t="s">
        <v>20</v>
      </c>
      <c r="M807" s="19">
        <v>163</v>
      </c>
      <c r="N807" s="19">
        <v>165</v>
      </c>
      <c r="O807" s="24">
        <f>IF(N807/M807*100&gt;110,110,N807/M807*100)</f>
        <v>101.22699386503066</v>
      </c>
      <c r="P807" s="468"/>
      <c r="Q807" s="35"/>
      <c r="R807" s="19"/>
      <c r="S807" s="557"/>
      <c r="T807" s="2"/>
    </row>
    <row r="808" spans="1:20" s="1" customFormat="1" ht="45" customHeight="1" x14ac:dyDescent="0.35">
      <c r="A808" s="605"/>
      <c r="B808" s="541"/>
      <c r="C808" s="19" t="s">
        <v>21</v>
      </c>
      <c r="D808" s="41" t="s">
        <v>135</v>
      </c>
      <c r="E808" s="19" t="s">
        <v>18</v>
      </c>
      <c r="F808" s="19">
        <v>100</v>
      </c>
      <c r="G808" s="19">
        <v>100</v>
      </c>
      <c r="H808" s="24">
        <f>IF(G808/F808*100&gt;100,100,G808/F808*100)</f>
        <v>100</v>
      </c>
      <c r="I808" s="19"/>
      <c r="J808" s="19"/>
      <c r="K808" s="455"/>
      <c r="L808" s="19"/>
      <c r="M808" s="476"/>
      <c r="N808" s="476"/>
      <c r="O808" s="24"/>
      <c r="P808" s="468"/>
      <c r="Q808" s="35"/>
      <c r="R808" s="19"/>
      <c r="S808" s="557"/>
      <c r="T808" s="2"/>
    </row>
    <row r="809" spans="1:20" s="1" customFormat="1" ht="43.5" customHeight="1" x14ac:dyDescent="0.35">
      <c r="A809" s="605"/>
      <c r="B809" s="541"/>
      <c r="C809" s="19" t="s">
        <v>23</v>
      </c>
      <c r="D809" s="41" t="s">
        <v>108</v>
      </c>
      <c r="E809" s="19" t="s">
        <v>18</v>
      </c>
      <c r="F809" s="19">
        <v>100</v>
      </c>
      <c r="G809" s="19">
        <v>100</v>
      </c>
      <c r="H809" s="24">
        <f>IF(G809/F809*100&gt;100,100,G809/F809*100)</f>
        <v>100</v>
      </c>
      <c r="I809" s="19"/>
      <c r="J809" s="129"/>
      <c r="K809" s="41"/>
      <c r="L809" s="19"/>
      <c r="M809" s="122"/>
      <c r="N809" s="122"/>
      <c r="O809" s="24"/>
      <c r="P809" s="468"/>
      <c r="Q809" s="35"/>
      <c r="R809" s="19"/>
      <c r="S809" s="557"/>
      <c r="T809" s="2"/>
    </row>
    <row r="810" spans="1:20" s="1" customFormat="1" ht="55.5" customHeight="1" x14ac:dyDescent="0.35">
      <c r="A810" s="605"/>
      <c r="B810" s="541"/>
      <c r="C810" s="19" t="s">
        <v>109</v>
      </c>
      <c r="D810" s="41" t="s">
        <v>17</v>
      </c>
      <c r="E810" s="19" t="s">
        <v>18</v>
      </c>
      <c r="F810" s="19">
        <v>90</v>
      </c>
      <c r="G810" s="19">
        <v>90</v>
      </c>
      <c r="H810" s="24">
        <f>IF(G810/F810*100&gt;100,100,G810/F810*100)</f>
        <v>100</v>
      </c>
      <c r="I810" s="19"/>
      <c r="J810" s="129"/>
      <c r="K810" s="41"/>
      <c r="L810" s="19"/>
      <c r="M810" s="122"/>
      <c r="N810" s="122"/>
      <c r="O810" s="24"/>
      <c r="P810" s="468"/>
      <c r="Q810" s="35"/>
      <c r="R810" s="19"/>
      <c r="S810" s="557"/>
      <c r="T810" s="2"/>
    </row>
    <row r="811" spans="1:20" s="1" customFormat="1" ht="107.25" customHeight="1" x14ac:dyDescent="0.35">
      <c r="A811" s="605"/>
      <c r="B811" s="541"/>
      <c r="C811" s="19" t="s">
        <v>110</v>
      </c>
      <c r="D811" s="41" t="s">
        <v>111</v>
      </c>
      <c r="E811" s="19" t="s">
        <v>18</v>
      </c>
      <c r="F811" s="19">
        <v>100</v>
      </c>
      <c r="G811" s="19">
        <v>100</v>
      </c>
      <c r="H811" s="24">
        <f>IF(G811/F811*100&gt;100,100,G811/F811*100)</f>
        <v>100</v>
      </c>
      <c r="I811" s="19"/>
      <c r="J811" s="129"/>
      <c r="K811" s="41"/>
      <c r="L811" s="19"/>
      <c r="M811" s="122"/>
      <c r="N811" s="122"/>
      <c r="O811" s="24"/>
      <c r="P811" s="468"/>
      <c r="Q811" s="35"/>
      <c r="R811" s="19"/>
      <c r="S811" s="557"/>
      <c r="T811" s="2"/>
    </row>
    <row r="812" spans="1:20" s="1" customFormat="1" ht="40.5" customHeight="1" x14ac:dyDescent="0.35">
      <c r="A812" s="605"/>
      <c r="B812" s="541"/>
      <c r="C812" s="465"/>
      <c r="D812" s="466" t="s">
        <v>644</v>
      </c>
      <c r="E812" s="465"/>
      <c r="F812" s="20"/>
      <c r="G812" s="20"/>
      <c r="H812" s="18"/>
      <c r="I812" s="18">
        <f>(H807+H808+H809+H810+H811)/5</f>
        <v>100</v>
      </c>
      <c r="J812" s="128"/>
      <c r="K812" s="466" t="s">
        <v>644</v>
      </c>
      <c r="L812" s="20"/>
      <c r="M812" s="124"/>
      <c r="N812" s="124"/>
      <c r="O812" s="18"/>
      <c r="P812" s="18">
        <f>O807</f>
        <v>101.22699386503066</v>
      </c>
      <c r="Q812" s="18">
        <f>(I812+P812)/2</f>
        <v>100.61349693251533</v>
      </c>
      <c r="R812" s="465" t="s">
        <v>25</v>
      </c>
      <c r="S812" s="557"/>
      <c r="T812" s="2"/>
    </row>
    <row r="813" spans="1:20" s="1" customFormat="1" ht="69" customHeight="1" x14ac:dyDescent="0.35">
      <c r="A813" s="605"/>
      <c r="B813" s="541"/>
      <c r="C813" s="454" t="s">
        <v>26</v>
      </c>
      <c r="D813" s="59" t="s">
        <v>113</v>
      </c>
      <c r="E813" s="19"/>
      <c r="F813" s="19"/>
      <c r="G813" s="19"/>
      <c r="H813" s="35"/>
      <c r="I813" s="35"/>
      <c r="J813" s="454" t="s">
        <v>26</v>
      </c>
      <c r="K813" s="59" t="s">
        <v>113</v>
      </c>
      <c r="L813" s="19"/>
      <c r="M813" s="122"/>
      <c r="N813" s="122"/>
      <c r="O813" s="35"/>
      <c r="P813" s="468"/>
      <c r="Q813" s="35"/>
      <c r="R813" s="19"/>
      <c r="S813" s="557"/>
      <c r="T813" s="2"/>
    </row>
    <row r="814" spans="1:20" s="1" customFormat="1" ht="69" customHeight="1" x14ac:dyDescent="0.35">
      <c r="A814" s="605"/>
      <c r="B814" s="541"/>
      <c r="C814" s="19" t="s">
        <v>28</v>
      </c>
      <c r="D814" s="41" t="s">
        <v>114</v>
      </c>
      <c r="E814" s="19" t="s">
        <v>18</v>
      </c>
      <c r="F814" s="19">
        <v>100</v>
      </c>
      <c r="G814" s="19">
        <v>100</v>
      </c>
      <c r="H814" s="24">
        <f>IF(G814/F814*100&gt;100,100,G814/F814*100)</f>
        <v>100</v>
      </c>
      <c r="I814" s="19"/>
      <c r="J814" s="129" t="s">
        <v>28</v>
      </c>
      <c r="K814" s="41" t="s">
        <v>106</v>
      </c>
      <c r="L814" s="19" t="s">
        <v>20</v>
      </c>
      <c r="M814" s="19">
        <v>293</v>
      </c>
      <c r="N814" s="19">
        <v>296</v>
      </c>
      <c r="O814" s="24">
        <f>IF(N814/M814*100&gt;110,110,N814/M814*100)</f>
        <v>101.02389078498292</v>
      </c>
      <c r="P814" s="19"/>
      <c r="Q814" s="35"/>
      <c r="R814" s="19"/>
      <c r="S814" s="557"/>
      <c r="T814" s="2"/>
    </row>
    <row r="815" spans="1:20" s="1" customFormat="1" ht="36.75" customHeight="1" x14ac:dyDescent="0.35">
      <c r="A815" s="605"/>
      <c r="B815" s="541"/>
      <c r="C815" s="19" t="s">
        <v>30</v>
      </c>
      <c r="D815" s="41" t="s">
        <v>115</v>
      </c>
      <c r="E815" s="19" t="s">
        <v>18</v>
      </c>
      <c r="F815" s="19">
        <v>100</v>
      </c>
      <c r="G815" s="19">
        <v>100</v>
      </c>
      <c r="H815" s="24">
        <f>IF(G815/F815*100&gt;100,100,G815/F815*100)</f>
        <v>100</v>
      </c>
      <c r="I815" s="19"/>
      <c r="J815" s="129"/>
      <c r="K815" s="41"/>
      <c r="L815" s="19"/>
      <c r="M815" s="122"/>
      <c r="N815" s="122"/>
      <c r="O815" s="24"/>
      <c r="P815" s="468"/>
      <c r="Q815" s="35"/>
      <c r="R815" s="19"/>
      <c r="S815" s="557"/>
      <c r="T815" s="2"/>
    </row>
    <row r="816" spans="1:20" s="1" customFormat="1" ht="47.25" customHeight="1" x14ac:dyDescent="0.35">
      <c r="A816" s="605"/>
      <c r="B816" s="541"/>
      <c r="C816" s="19" t="s">
        <v>34</v>
      </c>
      <c r="D816" s="41" t="s">
        <v>108</v>
      </c>
      <c r="E816" s="19" t="s">
        <v>18</v>
      </c>
      <c r="F816" s="19">
        <v>100</v>
      </c>
      <c r="G816" s="19">
        <v>100</v>
      </c>
      <c r="H816" s="24">
        <f>IF(G816/F816*100&gt;100,100,G816/F816*100)</f>
        <v>100</v>
      </c>
      <c r="I816" s="19"/>
      <c r="J816" s="129"/>
      <c r="K816" s="41"/>
      <c r="L816" s="19"/>
      <c r="M816" s="122"/>
      <c r="N816" s="122"/>
      <c r="O816" s="24"/>
      <c r="P816" s="468"/>
      <c r="Q816" s="35"/>
      <c r="R816" s="19"/>
      <c r="S816" s="557"/>
      <c r="T816" s="2"/>
    </row>
    <row r="817" spans="1:20" s="1" customFormat="1" ht="33" x14ac:dyDescent="0.35">
      <c r="A817" s="605"/>
      <c r="B817" s="541"/>
      <c r="C817" s="19" t="s">
        <v>78</v>
      </c>
      <c r="D817" s="41" t="s">
        <v>17</v>
      </c>
      <c r="E817" s="19" t="s">
        <v>18</v>
      </c>
      <c r="F817" s="19">
        <v>90</v>
      </c>
      <c r="G817" s="19">
        <v>90</v>
      </c>
      <c r="H817" s="24">
        <f>IF(G817/F817*100&gt;100,100,G817/F817*100)</f>
        <v>100</v>
      </c>
      <c r="I817" s="19"/>
      <c r="J817" s="129"/>
      <c r="K817" s="41"/>
      <c r="L817" s="19"/>
      <c r="M817" s="122"/>
      <c r="N817" s="122"/>
      <c r="O817" s="24"/>
      <c r="P817" s="468"/>
      <c r="Q817" s="35"/>
      <c r="R817" s="19"/>
      <c r="S817" s="557"/>
      <c r="T817" s="2"/>
    </row>
    <row r="818" spans="1:20" s="1" customFormat="1" ht="66" x14ac:dyDescent="0.35">
      <c r="A818" s="605"/>
      <c r="B818" s="541"/>
      <c r="C818" s="19" t="s">
        <v>79</v>
      </c>
      <c r="D818" s="41" t="s">
        <v>111</v>
      </c>
      <c r="E818" s="19" t="s">
        <v>18</v>
      </c>
      <c r="F818" s="19">
        <v>100</v>
      </c>
      <c r="G818" s="19">
        <v>100</v>
      </c>
      <c r="H818" s="24">
        <f>IF(G818/F818*100&gt;100,100,G818/F818*100)</f>
        <v>100</v>
      </c>
      <c r="I818" s="19"/>
      <c r="J818" s="129"/>
      <c r="K818" s="41"/>
      <c r="L818" s="19"/>
      <c r="M818" s="122"/>
      <c r="N818" s="122"/>
      <c r="O818" s="24"/>
      <c r="P818" s="468"/>
      <c r="Q818" s="35"/>
      <c r="R818" s="19"/>
      <c r="S818" s="557"/>
      <c r="T818" s="2"/>
    </row>
    <row r="819" spans="1:20" s="1" customFormat="1" ht="40.5" customHeight="1" x14ac:dyDescent="0.35">
      <c r="A819" s="605"/>
      <c r="B819" s="541"/>
      <c r="C819" s="465"/>
      <c r="D819" s="466" t="s">
        <v>644</v>
      </c>
      <c r="E819" s="465"/>
      <c r="F819" s="20"/>
      <c r="G819" s="20"/>
      <c r="H819" s="18"/>
      <c r="I819" s="18">
        <f>(H814+H815+H816+H817+H818)/5</f>
        <v>100</v>
      </c>
      <c r="J819" s="128"/>
      <c r="K819" s="466" t="s">
        <v>644</v>
      </c>
      <c r="L819" s="20"/>
      <c r="M819" s="124"/>
      <c r="N819" s="124"/>
      <c r="O819" s="18"/>
      <c r="P819" s="18">
        <f>O814</f>
        <v>101.02389078498292</v>
      </c>
      <c r="Q819" s="18">
        <f>(I819+P819)/2</f>
        <v>100.51194539249147</v>
      </c>
      <c r="R819" s="465" t="s">
        <v>25</v>
      </c>
      <c r="S819" s="557"/>
      <c r="T819" s="2"/>
    </row>
    <row r="820" spans="1:20" s="1" customFormat="1" ht="74.25" customHeight="1" x14ac:dyDescent="0.35">
      <c r="A820" s="605"/>
      <c r="B820" s="541"/>
      <c r="C820" s="454" t="s">
        <v>36</v>
      </c>
      <c r="D820" s="59" t="s">
        <v>116</v>
      </c>
      <c r="E820" s="19"/>
      <c r="F820" s="19"/>
      <c r="G820" s="19"/>
      <c r="H820" s="35"/>
      <c r="I820" s="35"/>
      <c r="J820" s="454" t="s">
        <v>36</v>
      </c>
      <c r="K820" s="59" t="str">
        <f>D820</f>
        <v>Реализация основных общеобразовательных программ среднего общего образования</v>
      </c>
      <c r="L820" s="19"/>
      <c r="M820" s="122"/>
      <c r="N820" s="122"/>
      <c r="O820" s="35"/>
      <c r="P820" s="468"/>
      <c r="Q820" s="35"/>
      <c r="R820" s="19"/>
      <c r="S820" s="557"/>
      <c r="T820" s="2"/>
    </row>
    <row r="821" spans="1:20" s="1" customFormat="1" ht="74.25" customHeight="1" x14ac:dyDescent="0.35">
      <c r="A821" s="605"/>
      <c r="B821" s="541"/>
      <c r="C821" s="19" t="s">
        <v>38</v>
      </c>
      <c r="D821" s="41" t="s">
        <v>117</v>
      </c>
      <c r="E821" s="19" t="s">
        <v>18</v>
      </c>
      <c r="F821" s="19">
        <v>100</v>
      </c>
      <c r="G821" s="19">
        <v>100</v>
      </c>
      <c r="H821" s="24">
        <f>IF(G821/F821*100&gt;100,100,G821/F821*100)</f>
        <v>100</v>
      </c>
      <c r="I821" s="19"/>
      <c r="J821" s="129" t="s">
        <v>38</v>
      </c>
      <c r="K821" s="41" t="s">
        <v>106</v>
      </c>
      <c r="L821" s="19" t="s">
        <v>20</v>
      </c>
      <c r="M821" s="19">
        <v>35</v>
      </c>
      <c r="N821" s="19">
        <v>38</v>
      </c>
      <c r="O821" s="24">
        <f>IF(N821/M821*100&gt;110,110,N821/M821*100)</f>
        <v>108.57142857142857</v>
      </c>
      <c r="P821" s="19"/>
      <c r="Q821" s="35"/>
      <c r="R821" s="19"/>
      <c r="S821" s="557"/>
      <c r="T821" s="2"/>
    </row>
    <row r="822" spans="1:20" s="1" customFormat="1" ht="45" customHeight="1" x14ac:dyDescent="0.35">
      <c r="A822" s="605"/>
      <c r="B822" s="541"/>
      <c r="C822" s="19" t="s">
        <v>118</v>
      </c>
      <c r="D822" s="41" t="s">
        <v>119</v>
      </c>
      <c r="E822" s="19" t="s">
        <v>18</v>
      </c>
      <c r="F822" s="19">
        <v>100</v>
      </c>
      <c r="G822" s="19">
        <v>100</v>
      </c>
      <c r="H822" s="24">
        <f>IF(G822/F822*100&gt;100,100,G822/F822*100)</f>
        <v>100</v>
      </c>
      <c r="I822" s="19"/>
      <c r="J822" s="129"/>
      <c r="K822" s="41"/>
      <c r="L822" s="19"/>
      <c r="M822" s="122"/>
      <c r="N822" s="122"/>
      <c r="O822" s="24"/>
      <c r="P822" s="468"/>
      <c r="Q822" s="35"/>
      <c r="R822" s="19"/>
      <c r="S822" s="557"/>
      <c r="T822" s="2"/>
    </row>
    <row r="823" spans="1:20" s="1" customFormat="1" ht="62.25" customHeight="1" x14ac:dyDescent="0.35">
      <c r="A823" s="605"/>
      <c r="B823" s="541"/>
      <c r="C823" s="19" t="s">
        <v>120</v>
      </c>
      <c r="D823" s="41" t="s">
        <v>108</v>
      </c>
      <c r="E823" s="19" t="s">
        <v>18</v>
      </c>
      <c r="F823" s="19">
        <v>100</v>
      </c>
      <c r="G823" s="19">
        <v>100</v>
      </c>
      <c r="H823" s="24">
        <f>IF(G823/F823*100&gt;100,100,G823/F823*100)</f>
        <v>100</v>
      </c>
      <c r="I823" s="19"/>
      <c r="J823" s="129"/>
      <c r="K823" s="41"/>
      <c r="L823" s="19"/>
      <c r="M823" s="122"/>
      <c r="N823" s="122"/>
      <c r="O823" s="24"/>
      <c r="P823" s="468"/>
      <c r="Q823" s="35"/>
      <c r="R823" s="19"/>
      <c r="S823" s="557"/>
      <c r="T823" s="2"/>
    </row>
    <row r="824" spans="1:20" s="1" customFormat="1" ht="81" customHeight="1" x14ac:dyDescent="0.35">
      <c r="A824" s="605"/>
      <c r="B824" s="541"/>
      <c r="C824" s="19" t="s">
        <v>121</v>
      </c>
      <c r="D824" s="41" t="s">
        <v>17</v>
      </c>
      <c r="E824" s="19" t="s">
        <v>18</v>
      </c>
      <c r="F824" s="19">
        <v>90</v>
      </c>
      <c r="G824" s="19">
        <v>90</v>
      </c>
      <c r="H824" s="24">
        <f>IF(G824/F824*100&gt;100,100,G824/F824*100)</f>
        <v>100</v>
      </c>
      <c r="I824" s="19"/>
      <c r="J824" s="129"/>
      <c r="K824" s="41"/>
      <c r="L824" s="19"/>
      <c r="M824" s="122"/>
      <c r="N824" s="122"/>
      <c r="O824" s="24"/>
      <c r="P824" s="468"/>
      <c r="Q824" s="35"/>
      <c r="R824" s="19"/>
      <c r="S824" s="557"/>
      <c r="T824" s="2"/>
    </row>
    <row r="825" spans="1:20" s="1" customFormat="1" ht="131.25" customHeight="1" x14ac:dyDescent="0.35">
      <c r="A825" s="605"/>
      <c r="B825" s="541"/>
      <c r="C825" s="19" t="s">
        <v>122</v>
      </c>
      <c r="D825" s="41" t="s">
        <v>111</v>
      </c>
      <c r="E825" s="19" t="s">
        <v>18</v>
      </c>
      <c r="F825" s="19">
        <v>100</v>
      </c>
      <c r="G825" s="19">
        <v>100</v>
      </c>
      <c r="H825" s="24">
        <f>IF(G825/F825*100&gt;100,100,G825/F825*100)</f>
        <v>100</v>
      </c>
      <c r="I825" s="19"/>
      <c r="J825" s="129"/>
      <c r="K825" s="41"/>
      <c r="L825" s="19"/>
      <c r="M825" s="122"/>
      <c r="N825" s="122"/>
      <c r="O825" s="24"/>
      <c r="P825" s="468"/>
      <c r="Q825" s="35"/>
      <c r="R825" s="19"/>
      <c r="S825" s="557"/>
      <c r="T825" s="2"/>
    </row>
    <row r="826" spans="1:20" s="1" customFormat="1" ht="40.5" customHeight="1" x14ac:dyDescent="0.35">
      <c r="A826" s="605"/>
      <c r="B826" s="541"/>
      <c r="C826" s="465"/>
      <c r="D826" s="466" t="s">
        <v>644</v>
      </c>
      <c r="E826" s="465"/>
      <c r="F826" s="20"/>
      <c r="G826" s="20"/>
      <c r="H826" s="18"/>
      <c r="I826" s="18">
        <f>(H821+H822+H823+H824+H825)/5</f>
        <v>100</v>
      </c>
      <c r="J826" s="128"/>
      <c r="K826" s="466" t="s">
        <v>644</v>
      </c>
      <c r="L826" s="20"/>
      <c r="M826" s="124"/>
      <c r="N826" s="124"/>
      <c r="O826" s="18"/>
      <c r="P826" s="18">
        <f>O821</f>
        <v>108.57142857142857</v>
      </c>
      <c r="Q826" s="18">
        <f>(I826+P826)/2</f>
        <v>104.28571428571428</v>
      </c>
      <c r="R826" s="465" t="s">
        <v>25</v>
      </c>
      <c r="S826" s="557"/>
      <c r="T826" s="2"/>
    </row>
    <row r="827" spans="1:20" s="1" customFormat="1" ht="45" customHeight="1" x14ac:dyDescent="0.35">
      <c r="A827" s="605"/>
      <c r="B827" s="541"/>
      <c r="C827" s="454" t="s">
        <v>123</v>
      </c>
      <c r="D827" s="59" t="s">
        <v>27</v>
      </c>
      <c r="E827" s="19"/>
      <c r="F827" s="19"/>
      <c r="G827" s="19"/>
      <c r="H827" s="35"/>
      <c r="I827" s="35"/>
      <c r="J827" s="454" t="s">
        <v>123</v>
      </c>
      <c r="K827" s="59" t="s">
        <v>27</v>
      </c>
      <c r="L827" s="19"/>
      <c r="M827" s="122"/>
      <c r="N827" s="122"/>
      <c r="O827" s="35"/>
      <c r="P827" s="468"/>
      <c r="Q827" s="35"/>
      <c r="R827" s="19"/>
      <c r="S827" s="557"/>
      <c r="T827" s="2"/>
    </row>
    <row r="828" spans="1:20" s="1" customFormat="1" ht="42.75" customHeight="1" x14ac:dyDescent="0.35">
      <c r="A828" s="605"/>
      <c r="B828" s="541"/>
      <c r="C828" s="19" t="s">
        <v>124</v>
      </c>
      <c r="D828" s="41" t="s">
        <v>125</v>
      </c>
      <c r="E828" s="19" t="s">
        <v>18</v>
      </c>
      <c r="F828" s="19">
        <v>100</v>
      </c>
      <c r="G828" s="19">
        <v>100</v>
      </c>
      <c r="H828" s="24">
        <f>IF(G828/F828*100&gt;100,100,G828/F828*100)</f>
        <v>100</v>
      </c>
      <c r="I828" s="19"/>
      <c r="J828" s="129" t="s">
        <v>124</v>
      </c>
      <c r="K828" s="41" t="s">
        <v>106</v>
      </c>
      <c r="L828" s="19" t="s">
        <v>20</v>
      </c>
      <c r="M828" s="19">
        <v>50</v>
      </c>
      <c r="N828" s="19">
        <v>50</v>
      </c>
      <c r="O828" s="24">
        <f>IF(N828/M828*100&gt;110,110,N828/M828*100)</f>
        <v>100</v>
      </c>
      <c r="P828" s="468"/>
      <c r="Q828" s="35"/>
      <c r="R828" s="19"/>
      <c r="S828" s="557"/>
      <c r="T828" s="2"/>
    </row>
    <row r="829" spans="1:20" s="1" customFormat="1" ht="80.25" customHeight="1" x14ac:dyDescent="0.35">
      <c r="A829" s="605"/>
      <c r="B829" s="541"/>
      <c r="C829" s="19" t="s">
        <v>127</v>
      </c>
      <c r="D829" s="41" t="s">
        <v>128</v>
      </c>
      <c r="E829" s="19" t="s">
        <v>18</v>
      </c>
      <c r="F829" s="19">
        <v>90</v>
      </c>
      <c r="G829" s="19">
        <v>90</v>
      </c>
      <c r="H829" s="24">
        <f>IF(G829/F829*100&gt;100,100,G829/F829*100)</f>
        <v>100</v>
      </c>
      <c r="I829" s="19"/>
      <c r="J829" s="129"/>
      <c r="K829" s="41"/>
      <c r="L829" s="19"/>
      <c r="M829" s="122"/>
      <c r="N829" s="122"/>
      <c r="O829" s="24"/>
      <c r="P829" s="468"/>
      <c r="Q829" s="35"/>
      <c r="R829" s="19"/>
      <c r="S829" s="557"/>
      <c r="T829" s="2"/>
    </row>
    <row r="830" spans="1:20" s="1" customFormat="1" ht="54" customHeight="1" x14ac:dyDescent="0.35">
      <c r="A830" s="605"/>
      <c r="B830" s="541"/>
      <c r="C830" s="465"/>
      <c r="D830" s="466" t="s">
        <v>644</v>
      </c>
      <c r="E830" s="465"/>
      <c r="F830" s="20"/>
      <c r="G830" s="20"/>
      <c r="H830" s="18"/>
      <c r="I830" s="18">
        <f>H829</f>
        <v>100</v>
      </c>
      <c r="J830" s="128"/>
      <c r="K830" s="466" t="s">
        <v>644</v>
      </c>
      <c r="L830" s="20"/>
      <c r="M830" s="124"/>
      <c r="N830" s="124"/>
      <c r="O830" s="18"/>
      <c r="P830" s="18">
        <f>O828</f>
        <v>100</v>
      </c>
      <c r="Q830" s="18">
        <f>(I830+P830)/2</f>
        <v>100</v>
      </c>
      <c r="R830" s="465" t="s">
        <v>25</v>
      </c>
      <c r="S830" s="557"/>
      <c r="T830" s="2"/>
    </row>
    <row r="831" spans="1:20" s="1" customFormat="1" ht="84.75" customHeight="1" x14ac:dyDescent="0.35">
      <c r="A831" s="605"/>
      <c r="B831" s="541"/>
      <c r="C831" s="454" t="s">
        <v>129</v>
      </c>
      <c r="D831" s="59" t="s">
        <v>130</v>
      </c>
      <c r="E831" s="19"/>
      <c r="F831" s="19"/>
      <c r="G831" s="19"/>
      <c r="H831" s="35"/>
      <c r="I831" s="35"/>
      <c r="J831" s="454" t="s">
        <v>129</v>
      </c>
      <c r="K831" s="59" t="str">
        <f>D831</f>
        <v>Реализация дополнительных общеразвивающих программ</v>
      </c>
      <c r="L831" s="19"/>
      <c r="M831" s="122"/>
      <c r="N831" s="122"/>
      <c r="O831" s="35"/>
      <c r="P831" s="468"/>
      <c r="Q831" s="35"/>
      <c r="R831" s="19"/>
      <c r="S831" s="557"/>
      <c r="T831" s="2"/>
    </row>
    <row r="832" spans="1:20" s="1" customFormat="1" ht="68.25" customHeight="1" x14ac:dyDescent="0.35">
      <c r="A832" s="605"/>
      <c r="B832" s="541"/>
      <c r="C832" s="19" t="s">
        <v>131</v>
      </c>
      <c r="D832" s="41" t="s">
        <v>128</v>
      </c>
      <c r="E832" s="19" t="s">
        <v>18</v>
      </c>
      <c r="F832" s="19">
        <v>90</v>
      </c>
      <c r="G832" s="19">
        <v>90</v>
      </c>
      <c r="H832" s="24">
        <f>IF(G832/F832*100&gt;100,100,G832/F832*100)</f>
        <v>100</v>
      </c>
      <c r="I832" s="19"/>
      <c r="J832" s="129" t="s">
        <v>131</v>
      </c>
      <c r="K832" s="41" t="s">
        <v>136</v>
      </c>
      <c r="L832" s="19" t="s">
        <v>139</v>
      </c>
      <c r="M832" s="19">
        <v>36720</v>
      </c>
      <c r="N832" s="19">
        <v>36720</v>
      </c>
      <c r="O832" s="24">
        <f>IF(N832/M832*100&gt;110,110,N832/M832*100)</f>
        <v>100</v>
      </c>
      <c r="P832" s="468"/>
      <c r="Q832" s="35"/>
      <c r="R832" s="19"/>
      <c r="S832" s="557"/>
      <c r="T832" s="2"/>
    </row>
    <row r="833" spans="1:20" s="1" customFormat="1" ht="41.25" customHeight="1" x14ac:dyDescent="0.35">
      <c r="A833" s="605"/>
      <c r="B833" s="541"/>
      <c r="C833" s="465"/>
      <c r="D833" s="466" t="s">
        <v>644</v>
      </c>
      <c r="E833" s="465"/>
      <c r="F833" s="20"/>
      <c r="G833" s="20"/>
      <c r="H833" s="18"/>
      <c r="I833" s="18">
        <f>H832</f>
        <v>100</v>
      </c>
      <c r="J833" s="128"/>
      <c r="K833" s="466" t="s">
        <v>644</v>
      </c>
      <c r="L833" s="20"/>
      <c r="M833" s="124"/>
      <c r="N833" s="124"/>
      <c r="O833" s="18"/>
      <c r="P833" s="18">
        <f>O832</f>
        <v>100</v>
      </c>
      <c r="Q833" s="18">
        <f>(I833+P833)/2</f>
        <v>100</v>
      </c>
      <c r="R833" s="465" t="s">
        <v>25</v>
      </c>
      <c r="S833" s="557"/>
      <c r="T833" s="2"/>
    </row>
    <row r="834" spans="1:20" s="1" customFormat="1" ht="79.5" customHeight="1" x14ac:dyDescent="0.35">
      <c r="A834" s="605">
        <v>47</v>
      </c>
      <c r="B834" s="541" t="s">
        <v>165</v>
      </c>
      <c r="C834" s="454" t="s">
        <v>13</v>
      </c>
      <c r="D834" s="59" t="s">
        <v>103</v>
      </c>
      <c r="E834" s="454"/>
      <c r="F834" s="454"/>
      <c r="G834" s="454"/>
      <c r="H834" s="35"/>
      <c r="I834" s="35"/>
      <c r="J834" s="454" t="s">
        <v>13</v>
      </c>
      <c r="K834" s="59" t="s">
        <v>103</v>
      </c>
      <c r="L834" s="19"/>
      <c r="M834" s="19"/>
      <c r="N834" s="19"/>
      <c r="O834" s="35"/>
      <c r="P834" s="468"/>
      <c r="Q834" s="35"/>
      <c r="R834" s="19"/>
      <c r="S834" s="557" t="s">
        <v>104</v>
      </c>
      <c r="T834" s="2"/>
    </row>
    <row r="835" spans="1:20" s="1" customFormat="1" ht="72.75" customHeight="1" x14ac:dyDescent="0.35">
      <c r="A835" s="605"/>
      <c r="B835" s="541"/>
      <c r="C835" s="19" t="s">
        <v>16</v>
      </c>
      <c r="D835" s="41" t="s">
        <v>105</v>
      </c>
      <c r="E835" s="19" t="s">
        <v>18</v>
      </c>
      <c r="F835" s="19">
        <v>100</v>
      </c>
      <c r="G835" s="19">
        <v>100</v>
      </c>
      <c r="H835" s="24">
        <f>IF(G835/F835*100&gt;100,100,G835/F835*100)</f>
        <v>100</v>
      </c>
      <c r="I835" s="19"/>
      <c r="J835" s="19" t="s">
        <v>16</v>
      </c>
      <c r="K835" s="41" t="s">
        <v>106</v>
      </c>
      <c r="L835" s="19" t="s">
        <v>20</v>
      </c>
      <c r="M835" s="19">
        <v>251</v>
      </c>
      <c r="N835" s="19">
        <v>248</v>
      </c>
      <c r="O835" s="24">
        <f>IF(N835/M835*100&gt;110,110,N835/M835*100)</f>
        <v>98.804780876494021</v>
      </c>
      <c r="P835" s="468"/>
      <c r="Q835" s="35"/>
      <c r="R835" s="19"/>
      <c r="S835" s="557"/>
      <c r="T835" s="2"/>
    </row>
    <row r="836" spans="1:20" s="1" customFormat="1" ht="45" customHeight="1" x14ac:dyDescent="0.35">
      <c r="A836" s="605"/>
      <c r="B836" s="541"/>
      <c r="C836" s="19" t="s">
        <v>21</v>
      </c>
      <c r="D836" s="41" t="s">
        <v>135</v>
      </c>
      <c r="E836" s="19" t="s">
        <v>18</v>
      </c>
      <c r="F836" s="19">
        <v>100</v>
      </c>
      <c r="G836" s="19">
        <v>100</v>
      </c>
      <c r="H836" s="24">
        <f>IF(G836/F836*100&gt;100,100,G836/F836*100)</f>
        <v>100</v>
      </c>
      <c r="I836" s="19"/>
      <c r="J836" s="19"/>
      <c r="K836" s="455"/>
      <c r="L836" s="19"/>
      <c r="M836" s="476"/>
      <c r="N836" s="476"/>
      <c r="O836" s="24"/>
      <c r="P836" s="468"/>
      <c r="Q836" s="35"/>
      <c r="R836" s="19"/>
      <c r="S836" s="557"/>
      <c r="T836" s="2"/>
    </row>
    <row r="837" spans="1:20" s="1" customFormat="1" ht="64.5" customHeight="1" x14ac:dyDescent="0.35">
      <c r="A837" s="605"/>
      <c r="B837" s="541"/>
      <c r="C837" s="19" t="s">
        <v>23</v>
      </c>
      <c r="D837" s="41" t="s">
        <v>108</v>
      </c>
      <c r="E837" s="19" t="s">
        <v>18</v>
      </c>
      <c r="F837" s="19">
        <v>100</v>
      </c>
      <c r="G837" s="19">
        <v>100</v>
      </c>
      <c r="H837" s="24">
        <f>IF(G837/F837*100&gt;100,100,G837/F837*100)</f>
        <v>100</v>
      </c>
      <c r="I837" s="19"/>
      <c r="J837" s="129"/>
      <c r="K837" s="41"/>
      <c r="L837" s="19"/>
      <c r="M837" s="122"/>
      <c r="N837" s="122"/>
      <c r="O837" s="24"/>
      <c r="P837" s="468"/>
      <c r="Q837" s="35"/>
      <c r="R837" s="19"/>
      <c r="S837" s="557"/>
      <c r="T837" s="2"/>
    </row>
    <row r="838" spans="1:20" s="1" customFormat="1" ht="74.25" customHeight="1" x14ac:dyDescent="0.35">
      <c r="A838" s="605"/>
      <c r="B838" s="541"/>
      <c r="C838" s="19" t="s">
        <v>109</v>
      </c>
      <c r="D838" s="41" t="s">
        <v>17</v>
      </c>
      <c r="E838" s="19" t="s">
        <v>18</v>
      </c>
      <c r="F838" s="19">
        <v>90</v>
      </c>
      <c r="G838" s="19">
        <v>100</v>
      </c>
      <c r="H838" s="24">
        <f>IF(G838/F838*100&gt;100,100,G838/F838*100)</f>
        <v>100</v>
      </c>
      <c r="I838" s="19"/>
      <c r="J838" s="129"/>
      <c r="K838" s="41"/>
      <c r="L838" s="19"/>
      <c r="M838" s="122"/>
      <c r="N838" s="122"/>
      <c r="O838" s="24"/>
      <c r="P838" s="468"/>
      <c r="Q838" s="35"/>
      <c r="R838" s="19"/>
      <c r="S838" s="557"/>
      <c r="T838" s="2"/>
    </row>
    <row r="839" spans="1:20" s="1" customFormat="1" ht="120.75" customHeight="1" x14ac:dyDescent="0.35">
      <c r="A839" s="605"/>
      <c r="B839" s="541"/>
      <c r="C839" s="19" t="s">
        <v>110</v>
      </c>
      <c r="D839" s="41" t="s">
        <v>111</v>
      </c>
      <c r="E839" s="19" t="s">
        <v>18</v>
      </c>
      <c r="F839" s="19">
        <v>100</v>
      </c>
      <c r="G839" s="19">
        <v>100</v>
      </c>
      <c r="H839" s="24">
        <f>IF(G839/F839*100&gt;100,100,G839/F839*100)</f>
        <v>100</v>
      </c>
      <c r="I839" s="19"/>
      <c r="J839" s="129"/>
      <c r="K839" s="41"/>
      <c r="L839" s="19"/>
      <c r="M839" s="122"/>
      <c r="N839" s="122"/>
      <c r="O839" s="24"/>
      <c r="P839" s="468"/>
      <c r="Q839" s="35"/>
      <c r="R839" s="19"/>
      <c r="S839" s="557"/>
      <c r="T839" s="2"/>
    </row>
    <row r="840" spans="1:20" s="1" customFormat="1" ht="40.5" customHeight="1" x14ac:dyDescent="0.35">
      <c r="A840" s="605"/>
      <c r="B840" s="541"/>
      <c r="C840" s="465"/>
      <c r="D840" s="466" t="s">
        <v>644</v>
      </c>
      <c r="E840" s="465"/>
      <c r="F840" s="20"/>
      <c r="G840" s="20"/>
      <c r="H840" s="18"/>
      <c r="I840" s="18">
        <f>(H835+H836+H837+H838+H839)/5</f>
        <v>100</v>
      </c>
      <c r="J840" s="128"/>
      <c r="K840" s="466" t="s">
        <v>644</v>
      </c>
      <c r="L840" s="20"/>
      <c r="M840" s="124"/>
      <c r="N840" s="124"/>
      <c r="O840" s="18"/>
      <c r="P840" s="18">
        <f>O835</f>
        <v>98.804780876494021</v>
      </c>
      <c r="Q840" s="18">
        <f>(I840+P840)/2</f>
        <v>99.402390438247011</v>
      </c>
      <c r="R840" s="465" t="s">
        <v>112</v>
      </c>
      <c r="S840" s="557"/>
      <c r="T840" s="2"/>
    </row>
    <row r="841" spans="1:20" s="1" customFormat="1" ht="84.75" customHeight="1" x14ac:dyDescent="0.35">
      <c r="A841" s="605"/>
      <c r="B841" s="541"/>
      <c r="C841" s="454" t="s">
        <v>26</v>
      </c>
      <c r="D841" s="59" t="s">
        <v>113</v>
      </c>
      <c r="E841" s="19"/>
      <c r="F841" s="19"/>
      <c r="G841" s="19"/>
      <c r="H841" s="35"/>
      <c r="I841" s="35"/>
      <c r="J841" s="454" t="s">
        <v>26</v>
      </c>
      <c r="K841" s="59" t="s">
        <v>113</v>
      </c>
      <c r="L841" s="19"/>
      <c r="M841" s="122"/>
      <c r="N841" s="122"/>
      <c r="O841" s="35"/>
      <c r="P841" s="468"/>
      <c r="Q841" s="35"/>
      <c r="R841" s="19"/>
      <c r="S841" s="557"/>
      <c r="T841" s="2"/>
    </row>
    <row r="842" spans="1:20" s="1" customFormat="1" ht="78.75" customHeight="1" x14ac:dyDescent="0.35">
      <c r="A842" s="605"/>
      <c r="B842" s="541"/>
      <c r="C842" s="19" t="s">
        <v>28</v>
      </c>
      <c r="D842" s="41" t="s">
        <v>114</v>
      </c>
      <c r="E842" s="19" t="s">
        <v>18</v>
      </c>
      <c r="F842" s="19">
        <v>100</v>
      </c>
      <c r="G842" s="19">
        <v>100</v>
      </c>
      <c r="H842" s="24">
        <f>IF(G842/F842*100&gt;100,100,G842/F842*100)</f>
        <v>100</v>
      </c>
      <c r="I842" s="19"/>
      <c r="J842" s="129" t="s">
        <v>28</v>
      </c>
      <c r="K842" s="41" t="s">
        <v>106</v>
      </c>
      <c r="L842" s="19" t="s">
        <v>20</v>
      </c>
      <c r="M842" s="19">
        <v>351</v>
      </c>
      <c r="N842" s="19">
        <v>350</v>
      </c>
      <c r="O842" s="24">
        <f>IF(N842/M842*100&gt;110,110,N842/M842*100)</f>
        <v>99.715099715099726</v>
      </c>
      <c r="P842" s="19"/>
      <c r="Q842" s="35"/>
      <c r="R842" s="19"/>
      <c r="S842" s="557"/>
      <c r="T842" s="2"/>
    </row>
    <row r="843" spans="1:20" s="1" customFormat="1" ht="36.75" customHeight="1" x14ac:dyDescent="0.35">
      <c r="A843" s="605"/>
      <c r="B843" s="541"/>
      <c r="C843" s="19" t="s">
        <v>30</v>
      </c>
      <c r="D843" s="41" t="s">
        <v>115</v>
      </c>
      <c r="E843" s="19" t="s">
        <v>18</v>
      </c>
      <c r="F843" s="19">
        <v>100</v>
      </c>
      <c r="G843" s="19">
        <v>100</v>
      </c>
      <c r="H843" s="24">
        <f>IF(G843/F843*100&gt;100,100,G843/F843*100)</f>
        <v>100</v>
      </c>
      <c r="I843" s="19"/>
      <c r="J843" s="129"/>
      <c r="K843" s="41"/>
      <c r="L843" s="19"/>
      <c r="M843" s="122"/>
      <c r="N843" s="122"/>
      <c r="O843" s="24"/>
      <c r="P843" s="468"/>
      <c r="Q843" s="35"/>
      <c r="R843" s="19"/>
      <c r="S843" s="557"/>
      <c r="T843" s="2"/>
    </row>
    <row r="844" spans="1:20" s="1" customFormat="1" ht="51" customHeight="1" x14ac:dyDescent="0.35">
      <c r="A844" s="605"/>
      <c r="B844" s="541"/>
      <c r="C844" s="19" t="s">
        <v>34</v>
      </c>
      <c r="D844" s="41" t="s">
        <v>108</v>
      </c>
      <c r="E844" s="19" t="s">
        <v>18</v>
      </c>
      <c r="F844" s="19">
        <v>100</v>
      </c>
      <c r="G844" s="19">
        <v>100</v>
      </c>
      <c r="H844" s="24">
        <f>IF(G844/F844*100&gt;100,100,G844/F844*100)</f>
        <v>100</v>
      </c>
      <c r="I844" s="19"/>
      <c r="J844" s="129"/>
      <c r="K844" s="41"/>
      <c r="L844" s="19"/>
      <c r="M844" s="122"/>
      <c r="N844" s="122"/>
      <c r="O844" s="24"/>
      <c r="P844" s="468"/>
      <c r="Q844" s="35"/>
      <c r="R844" s="19"/>
      <c r="S844" s="557"/>
      <c r="T844" s="2"/>
    </row>
    <row r="845" spans="1:20" s="1" customFormat="1" ht="63.75" customHeight="1" x14ac:dyDescent="0.35">
      <c r="A845" s="605"/>
      <c r="B845" s="541"/>
      <c r="C845" s="19" t="s">
        <v>78</v>
      </c>
      <c r="D845" s="41" t="s">
        <v>17</v>
      </c>
      <c r="E845" s="19" t="s">
        <v>18</v>
      </c>
      <c r="F845" s="19">
        <v>90</v>
      </c>
      <c r="G845" s="19">
        <v>100</v>
      </c>
      <c r="H845" s="24">
        <f>IF(G845/F845*100&gt;100,100,G845/F845*100)</f>
        <v>100</v>
      </c>
      <c r="I845" s="19"/>
      <c r="J845" s="129"/>
      <c r="K845" s="41"/>
      <c r="L845" s="19"/>
      <c r="M845" s="122"/>
      <c r="N845" s="122"/>
      <c r="O845" s="24"/>
      <c r="P845" s="468"/>
      <c r="Q845" s="35"/>
      <c r="R845" s="19"/>
      <c r="S845" s="557"/>
      <c r="T845" s="2"/>
    </row>
    <row r="846" spans="1:20" s="1" customFormat="1" ht="120.75" customHeight="1" x14ac:dyDescent="0.35">
      <c r="A846" s="605"/>
      <c r="B846" s="541"/>
      <c r="C846" s="19" t="s">
        <v>79</v>
      </c>
      <c r="D846" s="41" t="s">
        <v>111</v>
      </c>
      <c r="E846" s="19" t="s">
        <v>18</v>
      </c>
      <c r="F846" s="19">
        <v>100</v>
      </c>
      <c r="G846" s="19">
        <v>100</v>
      </c>
      <c r="H846" s="24">
        <f>IF(G846/F846*100&gt;100,100,G846/F846*100)</f>
        <v>100</v>
      </c>
      <c r="I846" s="19"/>
      <c r="J846" s="129"/>
      <c r="K846" s="41"/>
      <c r="L846" s="19"/>
      <c r="M846" s="122"/>
      <c r="N846" s="122"/>
      <c r="O846" s="24"/>
      <c r="P846" s="468"/>
      <c r="Q846" s="35"/>
      <c r="R846" s="19"/>
      <c r="S846" s="557"/>
      <c r="T846" s="2"/>
    </row>
    <row r="847" spans="1:20" s="1" customFormat="1" ht="40.5" customHeight="1" x14ac:dyDescent="0.35">
      <c r="A847" s="605"/>
      <c r="B847" s="541"/>
      <c r="C847" s="465"/>
      <c r="D847" s="466" t="s">
        <v>644</v>
      </c>
      <c r="E847" s="465"/>
      <c r="F847" s="20"/>
      <c r="G847" s="20"/>
      <c r="H847" s="18"/>
      <c r="I847" s="18">
        <f>(H842+H843+H844+H845+H846)/5</f>
        <v>100</v>
      </c>
      <c r="J847" s="128"/>
      <c r="K847" s="466" t="s">
        <v>644</v>
      </c>
      <c r="L847" s="20"/>
      <c r="M847" s="124"/>
      <c r="N847" s="124"/>
      <c r="O847" s="18"/>
      <c r="P847" s="18">
        <f>O842</f>
        <v>99.715099715099726</v>
      </c>
      <c r="Q847" s="18">
        <f>(I847+P847)/2</f>
        <v>99.857549857549856</v>
      </c>
      <c r="R847" s="465" t="s">
        <v>112</v>
      </c>
      <c r="S847" s="557"/>
      <c r="T847" s="2"/>
    </row>
    <row r="848" spans="1:20" s="1" customFormat="1" ht="87.75" customHeight="1" x14ac:dyDescent="0.35">
      <c r="A848" s="605"/>
      <c r="B848" s="541"/>
      <c r="C848" s="454" t="s">
        <v>36</v>
      </c>
      <c r="D848" s="59" t="s">
        <v>116</v>
      </c>
      <c r="E848" s="19"/>
      <c r="F848" s="19"/>
      <c r="G848" s="19"/>
      <c r="H848" s="35"/>
      <c r="I848" s="35"/>
      <c r="J848" s="454" t="s">
        <v>36</v>
      </c>
      <c r="K848" s="59" t="str">
        <f>D848</f>
        <v>Реализация основных общеобразовательных программ среднего общего образования</v>
      </c>
      <c r="L848" s="19"/>
      <c r="M848" s="122"/>
      <c r="N848" s="122"/>
      <c r="O848" s="35"/>
      <c r="P848" s="468"/>
      <c r="Q848" s="35"/>
      <c r="R848" s="19"/>
      <c r="S848" s="557"/>
      <c r="T848" s="2"/>
    </row>
    <row r="849" spans="1:20" s="1" customFormat="1" ht="76.5" customHeight="1" x14ac:dyDescent="0.35">
      <c r="A849" s="605"/>
      <c r="B849" s="541"/>
      <c r="C849" s="19" t="s">
        <v>38</v>
      </c>
      <c r="D849" s="41" t="s">
        <v>117</v>
      </c>
      <c r="E849" s="19" t="s">
        <v>18</v>
      </c>
      <c r="F849" s="19">
        <v>100</v>
      </c>
      <c r="G849" s="19">
        <v>100</v>
      </c>
      <c r="H849" s="24">
        <f>IF(G849/F849*100&gt;100,100,G849/F849*100)</f>
        <v>100</v>
      </c>
      <c r="I849" s="19"/>
      <c r="J849" s="129" t="s">
        <v>38</v>
      </c>
      <c r="K849" s="41" t="s">
        <v>106</v>
      </c>
      <c r="L849" s="19" t="s">
        <v>20</v>
      </c>
      <c r="M849" s="19">
        <v>111</v>
      </c>
      <c r="N849" s="19">
        <v>109</v>
      </c>
      <c r="O849" s="24">
        <f>IF(N849/M849*100&gt;110,110,N849/M849*100)</f>
        <v>98.198198198198199</v>
      </c>
      <c r="P849" s="19"/>
      <c r="Q849" s="35"/>
      <c r="R849" s="19"/>
      <c r="S849" s="557"/>
      <c r="T849" s="2"/>
    </row>
    <row r="850" spans="1:20" s="1" customFormat="1" ht="32.25" customHeight="1" x14ac:dyDescent="0.35">
      <c r="A850" s="605"/>
      <c r="B850" s="541"/>
      <c r="C850" s="19" t="s">
        <v>118</v>
      </c>
      <c r="D850" s="41" t="s">
        <v>119</v>
      </c>
      <c r="E850" s="19" t="s">
        <v>18</v>
      </c>
      <c r="F850" s="19">
        <v>100</v>
      </c>
      <c r="G850" s="19">
        <v>100</v>
      </c>
      <c r="H850" s="24">
        <f>IF(G850/F850*100&gt;100,100,G850/F850*100)</f>
        <v>100</v>
      </c>
      <c r="I850" s="19"/>
      <c r="J850" s="129"/>
      <c r="K850" s="41"/>
      <c r="L850" s="19"/>
      <c r="M850" s="122"/>
      <c r="N850" s="122"/>
      <c r="O850" s="24"/>
      <c r="P850" s="468"/>
      <c r="Q850" s="35"/>
      <c r="R850" s="19"/>
      <c r="S850" s="557"/>
      <c r="T850" s="2"/>
    </row>
    <row r="851" spans="1:20" s="1" customFormat="1" ht="58.5" customHeight="1" x14ac:dyDescent="0.35">
      <c r="A851" s="605"/>
      <c r="B851" s="541"/>
      <c r="C851" s="19" t="s">
        <v>120</v>
      </c>
      <c r="D851" s="41" t="s">
        <v>108</v>
      </c>
      <c r="E851" s="19" t="s">
        <v>18</v>
      </c>
      <c r="F851" s="19">
        <v>100</v>
      </c>
      <c r="G851" s="19">
        <v>100</v>
      </c>
      <c r="H851" s="24">
        <f>IF(G851/F851*100&gt;100,100,G851/F851*100)</f>
        <v>100</v>
      </c>
      <c r="I851" s="19"/>
      <c r="J851" s="129"/>
      <c r="K851" s="41"/>
      <c r="L851" s="19"/>
      <c r="M851" s="122"/>
      <c r="N851" s="122"/>
      <c r="O851" s="24"/>
      <c r="P851" s="468"/>
      <c r="Q851" s="35"/>
      <c r="R851" s="19"/>
      <c r="S851" s="557"/>
      <c r="T851" s="2"/>
    </row>
    <row r="852" spans="1:20" s="1" customFormat="1" ht="69" customHeight="1" x14ac:dyDescent="0.35">
      <c r="A852" s="605"/>
      <c r="B852" s="541"/>
      <c r="C852" s="19" t="s">
        <v>121</v>
      </c>
      <c r="D852" s="41" t="s">
        <v>17</v>
      </c>
      <c r="E852" s="19" t="s">
        <v>18</v>
      </c>
      <c r="F852" s="19">
        <v>90</v>
      </c>
      <c r="G852" s="19">
        <v>100</v>
      </c>
      <c r="H852" s="24">
        <f>IF(G852/F852*100&gt;100,100,G852/F852*100)</f>
        <v>100</v>
      </c>
      <c r="I852" s="19"/>
      <c r="J852" s="129"/>
      <c r="K852" s="41"/>
      <c r="L852" s="19"/>
      <c r="M852" s="122"/>
      <c r="N852" s="122"/>
      <c r="O852" s="24"/>
      <c r="P852" s="468"/>
      <c r="Q852" s="35"/>
      <c r="R852" s="19"/>
      <c r="S852" s="557"/>
      <c r="T852" s="2"/>
    </row>
    <row r="853" spans="1:20" s="1" customFormat="1" ht="124.5" customHeight="1" x14ac:dyDescent="0.35">
      <c r="A853" s="605"/>
      <c r="B853" s="541"/>
      <c r="C853" s="19" t="s">
        <v>122</v>
      </c>
      <c r="D853" s="41" t="s">
        <v>111</v>
      </c>
      <c r="E853" s="19" t="s">
        <v>18</v>
      </c>
      <c r="F853" s="19">
        <v>100</v>
      </c>
      <c r="G853" s="19">
        <v>100</v>
      </c>
      <c r="H853" s="24">
        <f>IF(G853/F853*100&gt;100,100,G853/F853*100)</f>
        <v>100</v>
      </c>
      <c r="I853" s="19"/>
      <c r="J853" s="129"/>
      <c r="K853" s="41"/>
      <c r="L853" s="19"/>
      <c r="M853" s="122"/>
      <c r="N853" s="122"/>
      <c r="O853" s="24"/>
      <c r="P853" s="468"/>
      <c r="Q853" s="35"/>
      <c r="R853" s="19"/>
      <c r="S853" s="557"/>
      <c r="T853" s="2"/>
    </row>
    <row r="854" spans="1:20" s="1" customFormat="1" ht="40.5" customHeight="1" x14ac:dyDescent="0.35">
      <c r="A854" s="605"/>
      <c r="B854" s="541"/>
      <c r="C854" s="465"/>
      <c r="D854" s="466" t="s">
        <v>644</v>
      </c>
      <c r="E854" s="465"/>
      <c r="F854" s="20"/>
      <c r="G854" s="20"/>
      <c r="H854" s="18"/>
      <c r="I854" s="18">
        <f>(H849+H850+H851+H852+H853)/5</f>
        <v>100</v>
      </c>
      <c r="J854" s="128"/>
      <c r="K854" s="466" t="s">
        <v>644</v>
      </c>
      <c r="L854" s="20"/>
      <c r="M854" s="124"/>
      <c r="N854" s="124"/>
      <c r="O854" s="18"/>
      <c r="P854" s="18">
        <f>O849</f>
        <v>98.198198198198199</v>
      </c>
      <c r="Q854" s="18">
        <f>(I854+P854)/2</f>
        <v>99.099099099099107</v>
      </c>
      <c r="R854" s="465" t="s">
        <v>112</v>
      </c>
      <c r="S854" s="557"/>
      <c r="T854" s="2"/>
    </row>
    <row r="855" spans="1:20" s="1" customFormat="1" ht="27" customHeight="1" x14ac:dyDescent="0.35">
      <c r="A855" s="605"/>
      <c r="B855" s="541"/>
      <c r="C855" s="454" t="s">
        <v>123</v>
      </c>
      <c r="D855" s="59" t="s">
        <v>27</v>
      </c>
      <c r="E855" s="19"/>
      <c r="F855" s="19"/>
      <c r="G855" s="19"/>
      <c r="H855" s="35"/>
      <c r="I855" s="35"/>
      <c r="J855" s="454" t="s">
        <v>123</v>
      </c>
      <c r="K855" s="59" t="s">
        <v>27</v>
      </c>
      <c r="L855" s="19"/>
      <c r="M855" s="122"/>
      <c r="N855" s="122"/>
      <c r="O855" s="35"/>
      <c r="P855" s="468"/>
      <c r="Q855" s="35"/>
      <c r="R855" s="19"/>
      <c r="S855" s="557"/>
      <c r="T855" s="2"/>
    </row>
    <row r="856" spans="1:20" s="1" customFormat="1" ht="47.25" customHeight="1" x14ac:dyDescent="0.35">
      <c r="A856" s="605"/>
      <c r="B856" s="541"/>
      <c r="C856" s="19" t="s">
        <v>124</v>
      </c>
      <c r="D856" s="41" t="s">
        <v>125</v>
      </c>
      <c r="E856" s="19" t="s">
        <v>18</v>
      </c>
      <c r="F856" s="19">
        <v>100</v>
      </c>
      <c r="G856" s="19">
        <v>100</v>
      </c>
      <c r="H856" s="24">
        <f>IF(G856/F856*100&gt;100,100,G856/F856*100)</f>
        <v>100</v>
      </c>
      <c r="I856" s="19"/>
      <c r="J856" s="129" t="s">
        <v>124</v>
      </c>
      <c r="K856" s="41" t="s">
        <v>106</v>
      </c>
      <c r="L856" s="19" t="s">
        <v>20</v>
      </c>
      <c r="M856" s="19">
        <v>185</v>
      </c>
      <c r="N856" s="19">
        <v>185</v>
      </c>
      <c r="O856" s="24">
        <f>IF(N856/M856*100&gt;110,110,N856/M856*100)</f>
        <v>100</v>
      </c>
      <c r="P856" s="468"/>
      <c r="Q856" s="35"/>
      <c r="R856" s="19"/>
      <c r="S856" s="557"/>
      <c r="T856" s="2"/>
    </row>
    <row r="857" spans="1:20" s="1" customFormat="1" ht="84.75" customHeight="1" x14ac:dyDescent="0.35">
      <c r="A857" s="605"/>
      <c r="B857" s="541"/>
      <c r="C857" s="19" t="s">
        <v>127</v>
      </c>
      <c r="D857" s="41" t="s">
        <v>128</v>
      </c>
      <c r="E857" s="19" t="s">
        <v>18</v>
      </c>
      <c r="F857" s="19">
        <v>90</v>
      </c>
      <c r="G857" s="19">
        <v>90</v>
      </c>
      <c r="H857" s="24">
        <f>IF(G857/F857*100&gt;100,100,G857/F857*100)</f>
        <v>100</v>
      </c>
      <c r="I857" s="19"/>
      <c r="J857" s="129"/>
      <c r="K857" s="41"/>
      <c r="L857" s="19"/>
      <c r="M857" s="122"/>
      <c r="N857" s="122"/>
      <c r="O857" s="24"/>
      <c r="P857" s="468"/>
      <c r="Q857" s="35"/>
      <c r="R857" s="19"/>
      <c r="S857" s="557"/>
      <c r="T857" s="2"/>
    </row>
    <row r="858" spans="1:20" s="1" customFormat="1" ht="40.5" customHeight="1" x14ac:dyDescent="0.35">
      <c r="A858" s="605"/>
      <c r="B858" s="541"/>
      <c r="C858" s="465"/>
      <c r="D858" s="466" t="s">
        <v>644</v>
      </c>
      <c r="E858" s="465"/>
      <c r="F858" s="20"/>
      <c r="G858" s="20"/>
      <c r="H858" s="18"/>
      <c r="I858" s="18">
        <f>(H856+H857)/2</f>
        <v>100</v>
      </c>
      <c r="J858" s="128"/>
      <c r="K858" s="466" t="s">
        <v>644</v>
      </c>
      <c r="L858" s="20"/>
      <c r="M858" s="124"/>
      <c r="N858" s="124"/>
      <c r="O858" s="18"/>
      <c r="P858" s="18">
        <f>O856</f>
        <v>100</v>
      </c>
      <c r="Q858" s="18">
        <f>(I858+P858)/2</f>
        <v>100</v>
      </c>
      <c r="R858" s="465" t="s">
        <v>25</v>
      </c>
      <c r="S858" s="557"/>
      <c r="T858" s="2"/>
    </row>
    <row r="859" spans="1:20" s="1" customFormat="1" ht="257.25" customHeight="1" x14ac:dyDescent="0.35">
      <c r="A859" s="605"/>
      <c r="B859" s="541"/>
      <c r="C859" s="454" t="s">
        <v>129</v>
      </c>
      <c r="D859" s="59" t="s">
        <v>274</v>
      </c>
      <c r="E859" s="454"/>
      <c r="F859" s="454"/>
      <c r="G859" s="454"/>
      <c r="H859" s="35"/>
      <c r="I859" s="35"/>
      <c r="J859" s="454" t="s">
        <v>129</v>
      </c>
      <c r="K859" s="59" t="s">
        <v>274</v>
      </c>
      <c r="L859" s="19"/>
      <c r="M859" s="19"/>
      <c r="N859" s="19"/>
      <c r="O859" s="35"/>
      <c r="P859" s="468"/>
      <c r="Q859" s="35"/>
      <c r="R859" s="19"/>
      <c r="S859" s="557"/>
      <c r="T859" s="2"/>
    </row>
    <row r="860" spans="1:20" s="1" customFormat="1" ht="79.5" customHeight="1" x14ac:dyDescent="0.35">
      <c r="A860" s="605"/>
      <c r="B860" s="541"/>
      <c r="C860" s="19" t="s">
        <v>131</v>
      </c>
      <c r="D860" s="41" t="s">
        <v>17</v>
      </c>
      <c r="E860" s="19" t="s">
        <v>18</v>
      </c>
      <c r="F860" s="19">
        <v>90</v>
      </c>
      <c r="G860" s="19">
        <v>90</v>
      </c>
      <c r="H860" s="24">
        <f>IF(G860/F860*100&gt;100,100,G860/F860*100)</f>
        <v>100</v>
      </c>
      <c r="I860" s="19"/>
      <c r="J860" s="19" t="s">
        <v>131</v>
      </c>
      <c r="K860" s="41" t="s">
        <v>273</v>
      </c>
      <c r="L860" s="19" t="s">
        <v>41</v>
      </c>
      <c r="M860" s="19">
        <v>270</v>
      </c>
      <c r="N860" s="19">
        <v>270</v>
      </c>
      <c r="O860" s="24">
        <f>IF(N860/M860*100&gt;110,110,N860/M860*100)</f>
        <v>100</v>
      </c>
      <c r="P860" s="468"/>
      <c r="Q860" s="35"/>
      <c r="R860" s="19"/>
      <c r="S860" s="557"/>
      <c r="T860" s="2"/>
    </row>
    <row r="861" spans="1:20" s="1" customFormat="1" ht="51.75" customHeight="1" x14ac:dyDescent="0.35">
      <c r="A861" s="605"/>
      <c r="B861" s="541"/>
      <c r="C861" s="465"/>
      <c r="D861" s="466" t="s">
        <v>644</v>
      </c>
      <c r="E861" s="465"/>
      <c r="F861" s="20"/>
      <c r="G861" s="20"/>
      <c r="H861" s="18"/>
      <c r="I861" s="18">
        <f>H860</f>
        <v>100</v>
      </c>
      <c r="J861" s="128"/>
      <c r="K861" s="466" t="s">
        <v>644</v>
      </c>
      <c r="L861" s="20"/>
      <c r="M861" s="124"/>
      <c r="N861" s="124"/>
      <c r="O861" s="18"/>
      <c r="P861" s="18">
        <f>O860</f>
        <v>100</v>
      </c>
      <c r="Q861" s="18">
        <f>(I861+P861)/2</f>
        <v>100</v>
      </c>
      <c r="R861" s="465" t="s">
        <v>25</v>
      </c>
      <c r="S861" s="557"/>
      <c r="T861" s="2"/>
    </row>
    <row r="862" spans="1:20" s="1" customFormat="1" ht="59.25" customHeight="1" x14ac:dyDescent="0.35">
      <c r="A862" s="605"/>
      <c r="B862" s="541"/>
      <c r="C862" s="454" t="s">
        <v>140</v>
      </c>
      <c r="D862" s="59" t="s">
        <v>130</v>
      </c>
      <c r="E862" s="19"/>
      <c r="F862" s="19"/>
      <c r="G862" s="19"/>
      <c r="H862" s="35"/>
      <c r="I862" s="35"/>
      <c r="J862" s="454" t="s">
        <v>140</v>
      </c>
      <c r="K862" s="59" t="str">
        <f>D862</f>
        <v>Реализация дополнительных общеразвивающих программ</v>
      </c>
      <c r="L862" s="19"/>
      <c r="M862" s="122"/>
      <c r="N862" s="122"/>
      <c r="O862" s="35"/>
      <c r="P862" s="468"/>
      <c r="Q862" s="35"/>
      <c r="R862" s="19"/>
      <c r="S862" s="557"/>
      <c r="T862" s="2"/>
    </row>
    <row r="863" spans="1:20" s="1" customFormat="1" ht="90.75" customHeight="1" x14ac:dyDescent="0.35">
      <c r="A863" s="605"/>
      <c r="B863" s="541"/>
      <c r="C863" s="19" t="s">
        <v>142</v>
      </c>
      <c r="D863" s="41" t="s">
        <v>128</v>
      </c>
      <c r="E863" s="19" t="s">
        <v>18</v>
      </c>
      <c r="F863" s="19">
        <v>90</v>
      </c>
      <c r="G863" s="19">
        <v>90</v>
      </c>
      <c r="H863" s="24">
        <f>IF(G863/F863*100&gt;100,100,G863/F863*100)</f>
        <v>100</v>
      </c>
      <c r="I863" s="19"/>
      <c r="J863" s="129" t="s">
        <v>142</v>
      </c>
      <c r="K863" s="41" t="s">
        <v>136</v>
      </c>
      <c r="L863" s="19" t="s">
        <v>139</v>
      </c>
      <c r="M863" s="19">
        <v>58752</v>
      </c>
      <c r="N863" s="19">
        <v>58752</v>
      </c>
      <c r="O863" s="24">
        <f>IF(N863/M863*100&gt;110,110,N863/M863*100)</f>
        <v>100</v>
      </c>
      <c r="P863" s="468"/>
      <c r="Q863" s="35"/>
      <c r="R863" s="19"/>
      <c r="S863" s="557"/>
      <c r="T863" s="2"/>
    </row>
    <row r="864" spans="1:20" s="1" customFormat="1" ht="51" customHeight="1" x14ac:dyDescent="0.35">
      <c r="A864" s="605"/>
      <c r="B864" s="541"/>
      <c r="C864" s="465"/>
      <c r="D864" s="466" t="s">
        <v>644</v>
      </c>
      <c r="E864" s="465"/>
      <c r="F864" s="20"/>
      <c r="G864" s="20"/>
      <c r="H864" s="18"/>
      <c r="I864" s="18">
        <f>H857</f>
        <v>100</v>
      </c>
      <c r="J864" s="128"/>
      <c r="K864" s="466" t="s">
        <v>644</v>
      </c>
      <c r="L864" s="20"/>
      <c r="M864" s="124"/>
      <c r="N864" s="124"/>
      <c r="O864" s="18"/>
      <c r="P864" s="18">
        <f>O863</f>
        <v>100</v>
      </c>
      <c r="Q864" s="18">
        <f>(I864+P864)/2</f>
        <v>100</v>
      </c>
      <c r="R864" s="465" t="s">
        <v>25</v>
      </c>
      <c r="S864" s="557"/>
      <c r="T864" s="2"/>
    </row>
    <row r="865" spans="1:20" s="1" customFormat="1" ht="70.5" customHeight="1" x14ac:dyDescent="0.35">
      <c r="A865" s="605"/>
      <c r="B865" s="541"/>
      <c r="C865" s="454" t="s">
        <v>144</v>
      </c>
      <c r="D865" s="59" t="s">
        <v>161</v>
      </c>
      <c r="E865" s="19"/>
      <c r="F865" s="19"/>
      <c r="G865" s="19"/>
      <c r="H865" s="35"/>
      <c r="I865" s="35"/>
      <c r="J865" s="454" t="s">
        <v>144</v>
      </c>
      <c r="K865" s="59" t="str">
        <f>D865</f>
        <v>Научно-методическое и ресурсное обеспечение системы образования</v>
      </c>
      <c r="L865" s="19"/>
      <c r="M865" s="19"/>
      <c r="N865" s="35"/>
      <c r="O865" s="35"/>
      <c r="P865" s="468"/>
      <c r="Q865" s="35"/>
      <c r="R865" s="19"/>
      <c r="S865" s="557"/>
      <c r="T865" s="2"/>
    </row>
    <row r="866" spans="1:20" s="1" customFormat="1" ht="162.75" customHeight="1" x14ac:dyDescent="0.35">
      <c r="A866" s="605"/>
      <c r="B866" s="541"/>
      <c r="C866" s="19" t="s">
        <v>146</v>
      </c>
      <c r="D866" s="41" t="s">
        <v>282</v>
      </c>
      <c r="E866" s="19" t="s">
        <v>18</v>
      </c>
      <c r="F866" s="19">
        <v>70</v>
      </c>
      <c r="G866" s="19">
        <v>70</v>
      </c>
      <c r="H866" s="24">
        <f>IF(G866/F866*100&gt;100,100,G866/F866*100)</f>
        <v>100</v>
      </c>
      <c r="I866" s="19"/>
      <c r="J866" s="129" t="s">
        <v>146</v>
      </c>
      <c r="K866" s="41" t="s">
        <v>162</v>
      </c>
      <c r="L866" s="19" t="s">
        <v>163</v>
      </c>
      <c r="M866" s="19">
        <v>3</v>
      </c>
      <c r="N866" s="19">
        <v>3</v>
      </c>
      <c r="O866" s="24">
        <f>IF(N866/M866*100&gt;110,110,N866/M866*100)</f>
        <v>100</v>
      </c>
      <c r="P866" s="468"/>
      <c r="Q866" s="35"/>
      <c r="R866" s="19"/>
      <c r="S866" s="557"/>
      <c r="T866" s="2"/>
    </row>
    <row r="867" spans="1:20" s="1" customFormat="1" ht="51.75" customHeight="1" x14ac:dyDescent="0.35">
      <c r="A867" s="605"/>
      <c r="B867" s="541"/>
      <c r="C867" s="465"/>
      <c r="D867" s="466" t="s">
        <v>644</v>
      </c>
      <c r="E867" s="465"/>
      <c r="F867" s="20"/>
      <c r="G867" s="20"/>
      <c r="H867" s="18"/>
      <c r="I867" s="18">
        <f>H866</f>
        <v>100</v>
      </c>
      <c r="J867" s="128"/>
      <c r="K867" s="466" t="s">
        <v>644</v>
      </c>
      <c r="L867" s="20"/>
      <c r="M867" s="124"/>
      <c r="N867" s="124"/>
      <c r="O867" s="18"/>
      <c r="P867" s="18">
        <f>O866</f>
        <v>100</v>
      </c>
      <c r="Q867" s="18">
        <f>(I867+P867)/2</f>
        <v>100</v>
      </c>
      <c r="R867" s="465" t="s">
        <v>25</v>
      </c>
      <c r="S867" s="557"/>
      <c r="T867" s="2"/>
    </row>
    <row r="868" spans="1:20" s="1" customFormat="1" ht="78" customHeight="1" x14ac:dyDescent="0.35">
      <c r="A868" s="605">
        <v>48</v>
      </c>
      <c r="B868" s="541" t="s">
        <v>166</v>
      </c>
      <c r="C868" s="454" t="s">
        <v>13</v>
      </c>
      <c r="D868" s="59" t="s">
        <v>103</v>
      </c>
      <c r="E868" s="454"/>
      <c r="F868" s="454"/>
      <c r="G868" s="454"/>
      <c r="H868" s="35"/>
      <c r="I868" s="35"/>
      <c r="J868" s="454" t="s">
        <v>13</v>
      </c>
      <c r="K868" s="59" t="s">
        <v>103</v>
      </c>
      <c r="L868" s="19"/>
      <c r="M868" s="19"/>
      <c r="N868" s="19"/>
      <c r="O868" s="35"/>
      <c r="P868" s="468"/>
      <c r="Q868" s="35"/>
      <c r="R868" s="19"/>
      <c r="S868" s="557" t="s">
        <v>104</v>
      </c>
      <c r="T868" s="2"/>
    </row>
    <row r="869" spans="1:20" s="1" customFormat="1" ht="78.75" customHeight="1" x14ac:dyDescent="0.35">
      <c r="A869" s="605"/>
      <c r="B869" s="541"/>
      <c r="C869" s="19" t="s">
        <v>16</v>
      </c>
      <c r="D869" s="41" t="s">
        <v>105</v>
      </c>
      <c r="E869" s="19" t="s">
        <v>18</v>
      </c>
      <c r="F869" s="19">
        <v>100</v>
      </c>
      <c r="G869" s="19">
        <v>100</v>
      </c>
      <c r="H869" s="24">
        <f>IF(G869/F869*100&gt;100,100,G869/F869*100)</f>
        <v>100</v>
      </c>
      <c r="I869" s="19"/>
      <c r="J869" s="19" t="s">
        <v>16</v>
      </c>
      <c r="K869" s="41" t="s">
        <v>106</v>
      </c>
      <c r="L869" s="19" t="s">
        <v>20</v>
      </c>
      <c r="M869" s="19">
        <v>199</v>
      </c>
      <c r="N869" s="19">
        <v>198</v>
      </c>
      <c r="O869" s="24">
        <f>IF(N869/M869*100&gt;110,110,N869/M869*100)</f>
        <v>99.497487437185924</v>
      </c>
      <c r="P869" s="468"/>
      <c r="Q869" s="35"/>
      <c r="R869" s="19"/>
      <c r="S869" s="557"/>
      <c r="T869" s="2"/>
    </row>
    <row r="870" spans="1:20" s="1" customFormat="1" ht="33" customHeight="1" x14ac:dyDescent="0.35">
      <c r="A870" s="605"/>
      <c r="B870" s="541"/>
      <c r="C870" s="19" t="s">
        <v>21</v>
      </c>
      <c r="D870" s="41" t="s">
        <v>135</v>
      </c>
      <c r="E870" s="19" t="s">
        <v>18</v>
      </c>
      <c r="F870" s="19">
        <v>100</v>
      </c>
      <c r="G870" s="19">
        <v>100</v>
      </c>
      <c r="H870" s="24">
        <f>IF(G870/F870*100&gt;100,100,G870/F870*100)</f>
        <v>100</v>
      </c>
      <c r="I870" s="19"/>
      <c r="J870" s="19"/>
      <c r="K870" s="455"/>
      <c r="L870" s="19"/>
      <c r="M870" s="476"/>
      <c r="N870" s="476"/>
      <c r="O870" s="24"/>
      <c r="P870" s="468"/>
      <c r="Q870" s="35"/>
      <c r="R870" s="19"/>
      <c r="S870" s="557"/>
      <c r="T870" s="2"/>
    </row>
    <row r="871" spans="1:20" s="1" customFormat="1" ht="45.75" customHeight="1" x14ac:dyDescent="0.35">
      <c r="A871" s="605"/>
      <c r="B871" s="541"/>
      <c r="C871" s="19" t="s">
        <v>23</v>
      </c>
      <c r="D871" s="41" t="s">
        <v>108</v>
      </c>
      <c r="E871" s="19" t="s">
        <v>18</v>
      </c>
      <c r="F871" s="19">
        <v>100</v>
      </c>
      <c r="G871" s="19">
        <v>100</v>
      </c>
      <c r="H871" s="24">
        <f>IF(G871/F871*100&gt;100,100,G871/F871*100)</f>
        <v>100</v>
      </c>
      <c r="I871" s="19"/>
      <c r="J871" s="129"/>
      <c r="K871" s="41"/>
      <c r="L871" s="19"/>
      <c r="M871" s="122"/>
      <c r="N871" s="122"/>
      <c r="O871" s="24"/>
      <c r="P871" s="468"/>
      <c r="Q871" s="35"/>
      <c r="R871" s="19"/>
      <c r="S871" s="557"/>
      <c r="T871" s="2"/>
    </row>
    <row r="872" spans="1:20" s="1" customFormat="1" ht="90.75" customHeight="1" x14ac:dyDescent="0.35">
      <c r="A872" s="605"/>
      <c r="B872" s="541"/>
      <c r="C872" s="19" t="s">
        <v>109</v>
      </c>
      <c r="D872" s="41" t="s">
        <v>17</v>
      </c>
      <c r="E872" s="19" t="s">
        <v>18</v>
      </c>
      <c r="F872" s="19">
        <v>90</v>
      </c>
      <c r="G872" s="19">
        <v>100</v>
      </c>
      <c r="H872" s="24">
        <f>IF(G872/F872*100&gt;100,100,G872/F872*100)</f>
        <v>100</v>
      </c>
      <c r="I872" s="19"/>
      <c r="J872" s="129"/>
      <c r="K872" s="41"/>
      <c r="L872" s="19"/>
      <c r="M872" s="122"/>
      <c r="N872" s="122"/>
      <c r="O872" s="24"/>
      <c r="P872" s="468"/>
      <c r="Q872" s="35"/>
      <c r="R872" s="19"/>
      <c r="S872" s="557"/>
      <c r="T872" s="2"/>
    </row>
    <row r="873" spans="1:20" s="1" customFormat="1" ht="127.5" customHeight="1" x14ac:dyDescent="0.35">
      <c r="A873" s="605"/>
      <c r="B873" s="541"/>
      <c r="C873" s="19" t="s">
        <v>110</v>
      </c>
      <c r="D873" s="41" t="s">
        <v>111</v>
      </c>
      <c r="E873" s="19" t="s">
        <v>18</v>
      </c>
      <c r="F873" s="19">
        <v>100</v>
      </c>
      <c r="G873" s="19">
        <v>100</v>
      </c>
      <c r="H873" s="24">
        <f>IF(G873/F873*100&gt;100,100,G873/F873*100)</f>
        <v>100</v>
      </c>
      <c r="I873" s="19"/>
      <c r="J873" s="129"/>
      <c r="K873" s="41"/>
      <c r="L873" s="19"/>
      <c r="M873" s="122"/>
      <c r="N873" s="122"/>
      <c r="O873" s="24"/>
      <c r="P873" s="468"/>
      <c r="Q873" s="35"/>
      <c r="R873" s="19"/>
      <c r="S873" s="557"/>
      <c r="T873" s="2"/>
    </row>
    <row r="874" spans="1:20" s="1" customFormat="1" ht="40.5" customHeight="1" x14ac:dyDescent="0.35">
      <c r="A874" s="605"/>
      <c r="B874" s="541"/>
      <c r="C874" s="465"/>
      <c r="D874" s="466" t="s">
        <v>644</v>
      </c>
      <c r="E874" s="465"/>
      <c r="F874" s="20"/>
      <c r="G874" s="20"/>
      <c r="H874" s="18"/>
      <c r="I874" s="18">
        <f>(H869+H870+H871+H872+H873)/5</f>
        <v>100</v>
      </c>
      <c r="J874" s="128"/>
      <c r="K874" s="466" t="s">
        <v>644</v>
      </c>
      <c r="L874" s="20"/>
      <c r="M874" s="124"/>
      <c r="N874" s="124"/>
      <c r="O874" s="18"/>
      <c r="P874" s="18">
        <f>O869</f>
        <v>99.497487437185924</v>
      </c>
      <c r="Q874" s="18">
        <f>(I874+P874)/2</f>
        <v>99.748743718592962</v>
      </c>
      <c r="R874" s="465" t="s">
        <v>112</v>
      </c>
      <c r="S874" s="557"/>
      <c r="T874" s="2"/>
    </row>
    <row r="875" spans="1:20" s="1" customFormat="1" ht="77.25" customHeight="1" x14ac:dyDescent="0.35">
      <c r="A875" s="605"/>
      <c r="B875" s="541"/>
      <c r="C875" s="454" t="s">
        <v>26</v>
      </c>
      <c r="D875" s="59" t="s">
        <v>113</v>
      </c>
      <c r="E875" s="19"/>
      <c r="F875" s="19"/>
      <c r="G875" s="19"/>
      <c r="H875" s="35"/>
      <c r="I875" s="35"/>
      <c r="J875" s="454" t="s">
        <v>26</v>
      </c>
      <c r="K875" s="59" t="s">
        <v>113</v>
      </c>
      <c r="L875" s="19"/>
      <c r="M875" s="122"/>
      <c r="N875" s="122"/>
      <c r="O875" s="35"/>
      <c r="P875" s="468"/>
      <c r="Q875" s="35"/>
      <c r="R875" s="19"/>
      <c r="S875" s="557"/>
      <c r="T875" s="2"/>
    </row>
    <row r="876" spans="1:20" s="1" customFormat="1" ht="77.25" customHeight="1" x14ac:dyDescent="0.35">
      <c r="A876" s="605"/>
      <c r="B876" s="541"/>
      <c r="C876" s="19" t="s">
        <v>28</v>
      </c>
      <c r="D876" s="41" t="s">
        <v>114</v>
      </c>
      <c r="E876" s="19" t="s">
        <v>18</v>
      </c>
      <c r="F876" s="19">
        <v>100</v>
      </c>
      <c r="G876" s="19">
        <v>100</v>
      </c>
      <c r="H876" s="24">
        <f>IF(G876/F876*100&gt;100,100,G876/F876*100)</f>
        <v>100</v>
      </c>
      <c r="I876" s="19"/>
      <c r="J876" s="129" t="s">
        <v>28</v>
      </c>
      <c r="K876" s="41" t="s">
        <v>106</v>
      </c>
      <c r="L876" s="19" t="s">
        <v>20</v>
      </c>
      <c r="M876" s="19">
        <v>344</v>
      </c>
      <c r="N876" s="19">
        <v>340</v>
      </c>
      <c r="O876" s="24">
        <f>IF(N876/M876*100&gt;110,110,N876/M876*100)</f>
        <v>98.837209302325576</v>
      </c>
      <c r="P876" s="19"/>
      <c r="Q876" s="35"/>
      <c r="R876" s="19"/>
      <c r="S876" s="557"/>
      <c r="T876" s="2"/>
    </row>
    <row r="877" spans="1:20" s="1" customFormat="1" ht="36.75" customHeight="1" x14ac:dyDescent="0.35">
      <c r="A877" s="605"/>
      <c r="B877" s="541"/>
      <c r="C877" s="19" t="s">
        <v>30</v>
      </c>
      <c r="D877" s="41" t="s">
        <v>115</v>
      </c>
      <c r="E877" s="19" t="s">
        <v>18</v>
      </c>
      <c r="F877" s="19">
        <v>100</v>
      </c>
      <c r="G877" s="19">
        <v>100</v>
      </c>
      <c r="H877" s="24">
        <f>IF(G877/F877*100&gt;100,100,G877/F877*100)</f>
        <v>100</v>
      </c>
      <c r="I877" s="19"/>
      <c r="J877" s="129"/>
      <c r="K877" s="41"/>
      <c r="L877" s="19"/>
      <c r="M877" s="122"/>
      <c r="N877" s="122"/>
      <c r="O877" s="24"/>
      <c r="P877" s="468"/>
      <c r="Q877" s="35"/>
      <c r="R877" s="19"/>
      <c r="S877" s="557"/>
      <c r="T877" s="2"/>
    </row>
    <row r="878" spans="1:20" s="1" customFormat="1" ht="60" customHeight="1" x14ac:dyDescent="0.35">
      <c r="A878" s="605"/>
      <c r="B878" s="541"/>
      <c r="C878" s="19" t="s">
        <v>34</v>
      </c>
      <c r="D878" s="41" t="s">
        <v>108</v>
      </c>
      <c r="E878" s="19" t="s">
        <v>18</v>
      </c>
      <c r="F878" s="19">
        <v>100</v>
      </c>
      <c r="G878" s="19">
        <v>100</v>
      </c>
      <c r="H878" s="24">
        <f>IF(G878/F878*100&gt;100,100,G878/F878*100)</f>
        <v>100</v>
      </c>
      <c r="I878" s="19"/>
      <c r="J878" s="129"/>
      <c r="K878" s="41"/>
      <c r="L878" s="19"/>
      <c r="M878" s="122"/>
      <c r="N878" s="122"/>
      <c r="O878" s="24"/>
      <c r="P878" s="468"/>
      <c r="Q878" s="35"/>
      <c r="R878" s="19"/>
      <c r="S878" s="557"/>
      <c r="T878" s="2"/>
    </row>
    <row r="879" spans="1:20" s="1" customFormat="1" ht="84" customHeight="1" x14ac:dyDescent="0.35">
      <c r="A879" s="605"/>
      <c r="B879" s="541"/>
      <c r="C879" s="19" t="s">
        <v>78</v>
      </c>
      <c r="D879" s="41" t="s">
        <v>17</v>
      </c>
      <c r="E879" s="19" t="s">
        <v>18</v>
      </c>
      <c r="F879" s="19">
        <v>90</v>
      </c>
      <c r="G879" s="19">
        <v>100</v>
      </c>
      <c r="H879" s="24">
        <f>IF(G879/F879*100&gt;100,100,G879/F879*100)</f>
        <v>100</v>
      </c>
      <c r="I879" s="19"/>
      <c r="J879" s="129"/>
      <c r="K879" s="41"/>
      <c r="L879" s="19"/>
      <c r="M879" s="122"/>
      <c r="N879" s="122"/>
      <c r="O879" s="24"/>
      <c r="P879" s="468"/>
      <c r="Q879" s="35"/>
      <c r="R879" s="19"/>
      <c r="S879" s="557"/>
      <c r="T879" s="2"/>
    </row>
    <row r="880" spans="1:20" s="1" customFormat="1" ht="121.5" customHeight="1" x14ac:dyDescent="0.35">
      <c r="A880" s="605"/>
      <c r="B880" s="541"/>
      <c r="C880" s="19" t="s">
        <v>79</v>
      </c>
      <c r="D880" s="41" t="s">
        <v>111</v>
      </c>
      <c r="E880" s="19" t="s">
        <v>18</v>
      </c>
      <c r="F880" s="19">
        <v>100</v>
      </c>
      <c r="G880" s="19">
        <v>100</v>
      </c>
      <c r="H880" s="24">
        <f>IF(G880/F880*100&gt;100,100,G880/F880*100)</f>
        <v>100</v>
      </c>
      <c r="I880" s="19"/>
      <c r="J880" s="129"/>
      <c r="K880" s="41"/>
      <c r="L880" s="19"/>
      <c r="M880" s="122"/>
      <c r="N880" s="122"/>
      <c r="O880" s="24"/>
      <c r="P880" s="468"/>
      <c r="Q880" s="35"/>
      <c r="R880" s="19"/>
      <c r="S880" s="557"/>
      <c r="T880" s="2"/>
    </row>
    <row r="881" spans="1:20" s="1" customFormat="1" ht="40.5" customHeight="1" x14ac:dyDescent="0.35">
      <c r="A881" s="605"/>
      <c r="B881" s="541"/>
      <c r="C881" s="465"/>
      <c r="D881" s="466" t="s">
        <v>644</v>
      </c>
      <c r="E881" s="465"/>
      <c r="F881" s="20"/>
      <c r="G881" s="20"/>
      <c r="H881" s="18"/>
      <c r="I881" s="18">
        <f>(H876+H877+H878+H879+H880)/5</f>
        <v>100</v>
      </c>
      <c r="J881" s="128"/>
      <c r="K881" s="466" t="s">
        <v>644</v>
      </c>
      <c r="L881" s="20"/>
      <c r="M881" s="124"/>
      <c r="N881" s="124"/>
      <c r="O881" s="18"/>
      <c r="P881" s="18">
        <f>O876</f>
        <v>98.837209302325576</v>
      </c>
      <c r="Q881" s="18">
        <f>(I881+P881)/2</f>
        <v>99.418604651162781</v>
      </c>
      <c r="R881" s="465" t="s">
        <v>112</v>
      </c>
      <c r="S881" s="557"/>
      <c r="T881" s="2"/>
    </row>
    <row r="882" spans="1:20" s="1" customFormat="1" ht="81" customHeight="1" x14ac:dyDescent="0.35">
      <c r="A882" s="605"/>
      <c r="B882" s="541"/>
      <c r="C882" s="454" t="s">
        <v>36</v>
      </c>
      <c r="D882" s="59" t="s">
        <v>116</v>
      </c>
      <c r="E882" s="19"/>
      <c r="F882" s="19"/>
      <c r="G882" s="19"/>
      <c r="H882" s="35"/>
      <c r="I882" s="35"/>
      <c r="J882" s="454" t="s">
        <v>36</v>
      </c>
      <c r="K882" s="59" t="str">
        <f>D882</f>
        <v>Реализация основных общеобразовательных программ среднего общего образования</v>
      </c>
      <c r="L882" s="19"/>
      <c r="M882" s="122"/>
      <c r="N882" s="122"/>
      <c r="O882" s="35"/>
      <c r="P882" s="468"/>
      <c r="Q882" s="35"/>
      <c r="R882" s="19"/>
      <c r="S882" s="557"/>
      <c r="T882" s="2"/>
    </row>
    <row r="883" spans="1:20" s="1" customFormat="1" ht="69" customHeight="1" x14ac:dyDescent="0.35">
      <c r="A883" s="605"/>
      <c r="B883" s="541"/>
      <c r="C883" s="19" t="s">
        <v>38</v>
      </c>
      <c r="D883" s="41" t="s">
        <v>117</v>
      </c>
      <c r="E883" s="19" t="s">
        <v>18</v>
      </c>
      <c r="F883" s="19">
        <v>100</v>
      </c>
      <c r="G883" s="19">
        <v>100</v>
      </c>
      <c r="H883" s="24">
        <f>IF(G883/F883*100&gt;100,100,G883/F883*100)</f>
        <v>100</v>
      </c>
      <c r="I883" s="19"/>
      <c r="J883" s="129" t="s">
        <v>38</v>
      </c>
      <c r="K883" s="41" t="s">
        <v>106</v>
      </c>
      <c r="L883" s="19" t="s">
        <v>20</v>
      </c>
      <c r="M883" s="19">
        <v>42</v>
      </c>
      <c r="N883" s="19">
        <v>42</v>
      </c>
      <c r="O883" s="24">
        <f>IF(N883/M883*100&gt;110,110,N883/M883*100)</f>
        <v>100</v>
      </c>
      <c r="P883" s="19"/>
      <c r="Q883" s="35"/>
      <c r="R883" s="19"/>
      <c r="S883" s="557"/>
      <c r="T883" s="2"/>
    </row>
    <row r="884" spans="1:20" s="1" customFormat="1" x14ac:dyDescent="0.35">
      <c r="A884" s="605"/>
      <c r="B884" s="541"/>
      <c r="C884" s="19" t="s">
        <v>118</v>
      </c>
      <c r="D884" s="41" t="s">
        <v>119</v>
      </c>
      <c r="E884" s="19" t="s">
        <v>18</v>
      </c>
      <c r="F884" s="19">
        <v>100</v>
      </c>
      <c r="G884" s="19">
        <v>100</v>
      </c>
      <c r="H884" s="24">
        <f>IF(G884/F884*100&gt;100,100,G884/F884*100)</f>
        <v>100</v>
      </c>
      <c r="I884" s="19"/>
      <c r="J884" s="129"/>
      <c r="K884" s="41"/>
      <c r="L884" s="19"/>
      <c r="M884" s="122"/>
      <c r="N884" s="122"/>
      <c r="O884" s="24"/>
      <c r="P884" s="468"/>
      <c r="Q884" s="35"/>
      <c r="R884" s="19"/>
      <c r="S884" s="557"/>
      <c r="T884" s="2"/>
    </row>
    <row r="885" spans="1:20" s="1" customFormat="1" ht="53.25" customHeight="1" x14ac:dyDescent="0.35">
      <c r="A885" s="605"/>
      <c r="B885" s="541"/>
      <c r="C885" s="19" t="s">
        <v>120</v>
      </c>
      <c r="D885" s="41" t="s">
        <v>108</v>
      </c>
      <c r="E885" s="19" t="s">
        <v>18</v>
      </c>
      <c r="F885" s="19">
        <v>100</v>
      </c>
      <c r="G885" s="19">
        <v>100</v>
      </c>
      <c r="H885" s="24">
        <f>IF(G885/F885*100&gt;100,100,G885/F885*100)</f>
        <v>100</v>
      </c>
      <c r="I885" s="19"/>
      <c r="J885" s="129"/>
      <c r="K885" s="41"/>
      <c r="L885" s="19"/>
      <c r="M885" s="122"/>
      <c r="N885" s="122"/>
      <c r="O885" s="24"/>
      <c r="P885" s="468"/>
      <c r="Q885" s="35"/>
      <c r="R885" s="19"/>
      <c r="S885" s="557"/>
      <c r="T885" s="2"/>
    </row>
    <row r="886" spans="1:20" s="1" customFormat="1" ht="69.75" customHeight="1" x14ac:dyDescent="0.35">
      <c r="A886" s="605"/>
      <c r="B886" s="541"/>
      <c r="C886" s="19" t="s">
        <v>121</v>
      </c>
      <c r="D886" s="41" t="s">
        <v>17</v>
      </c>
      <c r="E886" s="19" t="s">
        <v>18</v>
      </c>
      <c r="F886" s="19">
        <v>90</v>
      </c>
      <c r="G886" s="19">
        <v>100</v>
      </c>
      <c r="H886" s="24">
        <f>IF(G886/F886*100&gt;100,100,G886/F886*100)</f>
        <v>100</v>
      </c>
      <c r="I886" s="19"/>
      <c r="J886" s="129"/>
      <c r="K886" s="41"/>
      <c r="L886" s="19"/>
      <c r="M886" s="122"/>
      <c r="N886" s="122"/>
      <c r="O886" s="24"/>
      <c r="P886" s="468"/>
      <c r="Q886" s="35"/>
      <c r="R886" s="19"/>
      <c r="S886" s="557"/>
      <c r="T886" s="2"/>
    </row>
    <row r="887" spans="1:20" s="1" customFormat="1" ht="123" customHeight="1" x14ac:dyDescent="0.35">
      <c r="A887" s="605"/>
      <c r="B887" s="541"/>
      <c r="C887" s="19" t="s">
        <v>122</v>
      </c>
      <c r="D887" s="41" t="s">
        <v>111</v>
      </c>
      <c r="E887" s="19" t="s">
        <v>18</v>
      </c>
      <c r="F887" s="19">
        <v>100</v>
      </c>
      <c r="G887" s="19">
        <v>100</v>
      </c>
      <c r="H887" s="24">
        <f>IF(G887/F887*100&gt;100,100,G887/F887*100)</f>
        <v>100</v>
      </c>
      <c r="I887" s="19"/>
      <c r="J887" s="129"/>
      <c r="K887" s="41"/>
      <c r="L887" s="19"/>
      <c r="M887" s="122"/>
      <c r="N887" s="122"/>
      <c r="O887" s="24"/>
      <c r="P887" s="468"/>
      <c r="Q887" s="35"/>
      <c r="R887" s="19"/>
      <c r="S887" s="557"/>
      <c r="T887" s="2"/>
    </row>
    <row r="888" spans="1:20" s="1" customFormat="1" ht="40.5" customHeight="1" x14ac:dyDescent="0.35">
      <c r="A888" s="605"/>
      <c r="B888" s="541"/>
      <c r="C888" s="465"/>
      <c r="D888" s="466" t="s">
        <v>644</v>
      </c>
      <c r="E888" s="465"/>
      <c r="F888" s="20"/>
      <c r="G888" s="20"/>
      <c r="H888" s="18"/>
      <c r="I888" s="18">
        <f>(H883+H884+H885+H886+H887)/5</f>
        <v>100</v>
      </c>
      <c r="J888" s="128"/>
      <c r="K888" s="466" t="s">
        <v>644</v>
      </c>
      <c r="L888" s="20"/>
      <c r="M888" s="124"/>
      <c r="N888" s="124"/>
      <c r="O888" s="18"/>
      <c r="P888" s="18">
        <f>O883</f>
        <v>100</v>
      </c>
      <c r="Q888" s="18">
        <f>(I888+P888)/2</f>
        <v>100</v>
      </c>
      <c r="R888" s="465" t="s">
        <v>25</v>
      </c>
      <c r="S888" s="557"/>
      <c r="T888" s="2"/>
    </row>
    <row r="889" spans="1:20" s="1" customFormat="1" x14ac:dyDescent="0.35">
      <c r="A889" s="605"/>
      <c r="B889" s="541"/>
      <c r="C889" s="454" t="s">
        <v>123</v>
      </c>
      <c r="D889" s="59" t="s">
        <v>27</v>
      </c>
      <c r="E889" s="19"/>
      <c r="F889" s="19"/>
      <c r="G889" s="19"/>
      <c r="H889" s="35"/>
      <c r="I889" s="35"/>
      <c r="J889" s="454" t="s">
        <v>123</v>
      </c>
      <c r="K889" s="59" t="s">
        <v>27</v>
      </c>
      <c r="L889" s="19"/>
      <c r="M889" s="122"/>
      <c r="N889" s="122"/>
      <c r="O889" s="35"/>
      <c r="P889" s="468"/>
      <c r="Q889" s="35"/>
      <c r="R889" s="19"/>
      <c r="S889" s="557"/>
      <c r="T889" s="2"/>
    </row>
    <row r="890" spans="1:20" s="1" customFormat="1" ht="57.75" customHeight="1" x14ac:dyDescent="0.35">
      <c r="A890" s="605"/>
      <c r="B890" s="541"/>
      <c r="C890" s="19" t="s">
        <v>124</v>
      </c>
      <c r="D890" s="41" t="s">
        <v>125</v>
      </c>
      <c r="E890" s="19" t="s">
        <v>18</v>
      </c>
      <c r="F890" s="19">
        <v>100</v>
      </c>
      <c r="G890" s="19">
        <v>100</v>
      </c>
      <c r="H890" s="24">
        <f>IF(G890/F890*100&gt;100,100,G890/F890*100)</f>
        <v>100</v>
      </c>
      <c r="I890" s="19"/>
      <c r="J890" s="129" t="s">
        <v>124</v>
      </c>
      <c r="K890" s="41" t="s">
        <v>106</v>
      </c>
      <c r="L890" s="19" t="s">
        <v>20</v>
      </c>
      <c r="M890" s="19">
        <v>40</v>
      </c>
      <c r="N890" s="19">
        <v>37</v>
      </c>
      <c r="O890" s="24">
        <f>IF(N890/M890*100&gt;110,110,N890/M890*100)</f>
        <v>92.5</v>
      </c>
      <c r="P890" s="468"/>
      <c r="Q890" s="35"/>
      <c r="R890" s="19"/>
      <c r="S890" s="557"/>
      <c r="T890" s="2"/>
    </row>
    <row r="891" spans="1:20" s="1" customFormat="1" ht="75.75" customHeight="1" x14ac:dyDescent="0.35">
      <c r="A891" s="605"/>
      <c r="B891" s="541"/>
      <c r="C891" s="19" t="s">
        <v>127</v>
      </c>
      <c r="D891" s="41" t="s">
        <v>128</v>
      </c>
      <c r="E891" s="19" t="s">
        <v>18</v>
      </c>
      <c r="F891" s="19">
        <v>90</v>
      </c>
      <c r="G891" s="19">
        <v>90</v>
      </c>
      <c r="H891" s="24">
        <f>IF(G891/F891*100&gt;100,100,G891/F891*100)</f>
        <v>100</v>
      </c>
      <c r="I891" s="19"/>
      <c r="J891" s="129"/>
      <c r="K891" s="41"/>
      <c r="L891" s="19"/>
      <c r="M891" s="122"/>
      <c r="N891" s="122"/>
      <c r="O891" s="24"/>
      <c r="P891" s="468"/>
      <c r="Q891" s="35"/>
      <c r="R891" s="19"/>
      <c r="S891" s="557"/>
      <c r="T891" s="2"/>
    </row>
    <row r="892" spans="1:20" s="1" customFormat="1" ht="40.5" customHeight="1" x14ac:dyDescent="0.35">
      <c r="A892" s="605"/>
      <c r="B892" s="541"/>
      <c r="C892" s="465"/>
      <c r="D892" s="466" t="s">
        <v>644</v>
      </c>
      <c r="E892" s="465"/>
      <c r="F892" s="20"/>
      <c r="G892" s="20"/>
      <c r="H892" s="18"/>
      <c r="I892" s="18">
        <f>(H890+H891)/2</f>
        <v>100</v>
      </c>
      <c r="J892" s="128"/>
      <c r="K892" s="466" t="s">
        <v>644</v>
      </c>
      <c r="L892" s="20"/>
      <c r="M892" s="124"/>
      <c r="N892" s="124"/>
      <c r="O892" s="18"/>
      <c r="P892" s="18">
        <f>O890</f>
        <v>92.5</v>
      </c>
      <c r="Q892" s="18">
        <f>(I892+P892)/2</f>
        <v>96.25</v>
      </c>
      <c r="R892" s="465" t="s">
        <v>112</v>
      </c>
      <c r="S892" s="557"/>
      <c r="T892" s="2"/>
    </row>
    <row r="893" spans="1:20" s="1" customFormat="1" ht="249" customHeight="1" x14ac:dyDescent="0.35">
      <c r="A893" s="605"/>
      <c r="B893" s="541"/>
      <c r="C893" s="454" t="s">
        <v>129</v>
      </c>
      <c r="D893" s="59" t="s">
        <v>274</v>
      </c>
      <c r="E893" s="454"/>
      <c r="F893" s="454"/>
      <c r="G893" s="454"/>
      <c r="H893" s="35"/>
      <c r="I893" s="35"/>
      <c r="J893" s="454" t="s">
        <v>129</v>
      </c>
      <c r="K893" s="59" t="s">
        <v>274</v>
      </c>
      <c r="L893" s="19"/>
      <c r="M893" s="19"/>
      <c r="N893" s="19"/>
      <c r="O893" s="35"/>
      <c r="P893" s="468"/>
      <c r="Q893" s="35"/>
      <c r="R893" s="19"/>
      <c r="S893" s="557"/>
      <c r="T893" s="2"/>
    </row>
    <row r="894" spans="1:20" s="1" customFormat="1" ht="85.5" customHeight="1" x14ac:dyDescent="0.35">
      <c r="A894" s="605"/>
      <c r="B894" s="541"/>
      <c r="C894" s="19" t="s">
        <v>131</v>
      </c>
      <c r="D894" s="41" t="s">
        <v>17</v>
      </c>
      <c r="E894" s="19" t="s">
        <v>18</v>
      </c>
      <c r="F894" s="19">
        <v>90</v>
      </c>
      <c r="G894" s="19">
        <v>90</v>
      </c>
      <c r="H894" s="24">
        <f>IF(G894/F894*100&gt;100,100,G894/F894*100)</f>
        <v>100</v>
      </c>
      <c r="I894" s="19"/>
      <c r="J894" s="19" t="s">
        <v>131</v>
      </c>
      <c r="K894" s="41" t="s">
        <v>273</v>
      </c>
      <c r="L894" s="19" t="s">
        <v>41</v>
      </c>
      <c r="M894" s="19">
        <v>21</v>
      </c>
      <c r="N894" s="19">
        <v>21</v>
      </c>
      <c r="O894" s="24">
        <f>IF(N894/M894*100&gt;110,110,N894/M894*100)</f>
        <v>100</v>
      </c>
      <c r="P894" s="468"/>
      <c r="Q894" s="35"/>
      <c r="R894" s="19"/>
      <c r="S894" s="557"/>
      <c r="T894" s="2"/>
    </row>
    <row r="895" spans="1:20" s="1" customFormat="1" ht="56.25" customHeight="1" x14ac:dyDescent="0.35">
      <c r="A895" s="605"/>
      <c r="B895" s="541"/>
      <c r="C895" s="465"/>
      <c r="D895" s="466" t="s">
        <v>644</v>
      </c>
      <c r="E895" s="465"/>
      <c r="F895" s="20"/>
      <c r="G895" s="20"/>
      <c r="H895" s="18"/>
      <c r="I895" s="18">
        <f>H894</f>
        <v>100</v>
      </c>
      <c r="J895" s="128"/>
      <c r="K895" s="466" t="s">
        <v>644</v>
      </c>
      <c r="L895" s="20"/>
      <c r="M895" s="124"/>
      <c r="N895" s="124"/>
      <c r="O895" s="18"/>
      <c r="P895" s="18">
        <f>O894</f>
        <v>100</v>
      </c>
      <c r="Q895" s="18">
        <f>(I895+P895)/2</f>
        <v>100</v>
      </c>
      <c r="R895" s="465" t="s">
        <v>25</v>
      </c>
      <c r="S895" s="557"/>
      <c r="T895" s="2"/>
    </row>
    <row r="896" spans="1:20" s="1" customFormat="1" ht="48" customHeight="1" x14ac:dyDescent="0.35">
      <c r="A896" s="605"/>
      <c r="B896" s="541"/>
      <c r="C896" s="454" t="s">
        <v>140</v>
      </c>
      <c r="D896" s="59" t="s">
        <v>130</v>
      </c>
      <c r="E896" s="19"/>
      <c r="F896" s="19"/>
      <c r="G896" s="19"/>
      <c r="H896" s="35"/>
      <c r="I896" s="35"/>
      <c r="J896" s="454" t="s">
        <v>140</v>
      </c>
      <c r="K896" s="59" t="str">
        <f>D896</f>
        <v>Реализация дополнительных общеразвивающих программ</v>
      </c>
      <c r="L896" s="19"/>
      <c r="M896" s="122"/>
      <c r="N896" s="122"/>
      <c r="O896" s="35"/>
      <c r="P896" s="468"/>
      <c r="Q896" s="35"/>
      <c r="R896" s="19"/>
      <c r="S896" s="557"/>
      <c r="T896" s="2"/>
    </row>
    <row r="897" spans="1:20" s="1" customFormat="1" ht="87" customHeight="1" x14ac:dyDescent="0.35">
      <c r="A897" s="605"/>
      <c r="B897" s="541"/>
      <c r="C897" s="19" t="s">
        <v>142</v>
      </c>
      <c r="D897" s="41" t="s">
        <v>128</v>
      </c>
      <c r="E897" s="19" t="s">
        <v>18</v>
      </c>
      <c r="F897" s="19">
        <v>90</v>
      </c>
      <c r="G897" s="19">
        <v>90</v>
      </c>
      <c r="H897" s="24">
        <f>IF(G897/F897*100&gt;100,100,G897/F897*100)</f>
        <v>100</v>
      </c>
      <c r="I897" s="19"/>
      <c r="J897" s="129" t="s">
        <v>142</v>
      </c>
      <c r="K897" s="41" t="s">
        <v>136</v>
      </c>
      <c r="L897" s="19" t="s">
        <v>139</v>
      </c>
      <c r="M897" s="19">
        <v>40392</v>
      </c>
      <c r="N897" s="19">
        <v>40275</v>
      </c>
      <c r="O897" s="24">
        <f>IF(N897/M897*100&gt;110,110,N897/M897*100)</f>
        <v>99.71033868092691</v>
      </c>
      <c r="P897" s="468"/>
      <c r="Q897" s="35"/>
      <c r="R897" s="19"/>
      <c r="S897" s="557"/>
      <c r="T897" s="2"/>
    </row>
    <row r="898" spans="1:20" s="1" customFormat="1" ht="42.75" customHeight="1" x14ac:dyDescent="0.35">
      <c r="A898" s="605"/>
      <c r="B898" s="541"/>
      <c r="C898" s="465"/>
      <c r="D898" s="466" t="s">
        <v>644</v>
      </c>
      <c r="E898" s="465"/>
      <c r="F898" s="20"/>
      <c r="G898" s="20"/>
      <c r="H898" s="18"/>
      <c r="I898" s="18">
        <f>H897</f>
        <v>100</v>
      </c>
      <c r="J898" s="128"/>
      <c r="K898" s="466" t="s">
        <v>644</v>
      </c>
      <c r="L898" s="20"/>
      <c r="M898" s="124"/>
      <c r="N898" s="124"/>
      <c r="O898" s="18"/>
      <c r="P898" s="18">
        <f>O897</f>
        <v>99.71033868092691</v>
      </c>
      <c r="Q898" s="18">
        <f>(I898+P898)/2</f>
        <v>99.855169340463448</v>
      </c>
      <c r="R898" s="465" t="s">
        <v>112</v>
      </c>
      <c r="S898" s="557"/>
      <c r="T898" s="2"/>
    </row>
    <row r="899" spans="1:20" s="1" customFormat="1" ht="81.75" customHeight="1" x14ac:dyDescent="0.35">
      <c r="A899" s="605">
        <v>49</v>
      </c>
      <c r="B899" s="541" t="s">
        <v>167</v>
      </c>
      <c r="C899" s="454" t="s">
        <v>13</v>
      </c>
      <c r="D899" s="59" t="s">
        <v>103</v>
      </c>
      <c r="E899" s="454"/>
      <c r="F899" s="454"/>
      <c r="G899" s="454"/>
      <c r="H899" s="35"/>
      <c r="I899" s="35"/>
      <c r="J899" s="454" t="s">
        <v>13</v>
      </c>
      <c r="K899" s="59" t="s">
        <v>103</v>
      </c>
      <c r="L899" s="19"/>
      <c r="M899" s="19"/>
      <c r="N899" s="19"/>
      <c r="O899" s="35"/>
      <c r="P899" s="468"/>
      <c r="Q899" s="35"/>
      <c r="R899" s="19"/>
      <c r="S899" s="557" t="s">
        <v>104</v>
      </c>
      <c r="T899" s="2"/>
    </row>
    <row r="900" spans="1:20" s="1" customFormat="1" ht="59.25" customHeight="1" x14ac:dyDescent="0.35">
      <c r="A900" s="605"/>
      <c r="B900" s="541"/>
      <c r="C900" s="19" t="s">
        <v>16</v>
      </c>
      <c r="D900" s="41" t="s">
        <v>105</v>
      </c>
      <c r="E900" s="19" t="s">
        <v>18</v>
      </c>
      <c r="F900" s="19">
        <v>100</v>
      </c>
      <c r="G900" s="19">
        <v>100</v>
      </c>
      <c r="H900" s="24">
        <f>IF(G900/F900*100&gt;100,100,G900/F900*100)</f>
        <v>100</v>
      </c>
      <c r="I900" s="19"/>
      <c r="J900" s="19" t="s">
        <v>16</v>
      </c>
      <c r="K900" s="41" t="s">
        <v>106</v>
      </c>
      <c r="L900" s="19" t="s">
        <v>20</v>
      </c>
      <c r="M900" s="19">
        <v>273</v>
      </c>
      <c r="N900" s="19">
        <v>268</v>
      </c>
      <c r="O900" s="24">
        <f>IF(N900/M900*100&gt;110,110,N900/M900*100)</f>
        <v>98.168498168498161</v>
      </c>
      <c r="P900" s="468"/>
      <c r="Q900" s="35"/>
      <c r="R900" s="19"/>
      <c r="S900" s="557"/>
      <c r="T900" s="2"/>
    </row>
    <row r="901" spans="1:20" s="1" customFormat="1" ht="45" customHeight="1" x14ac:dyDescent="0.35">
      <c r="A901" s="605"/>
      <c r="B901" s="541"/>
      <c r="C901" s="19" t="s">
        <v>21</v>
      </c>
      <c r="D901" s="41" t="s">
        <v>135</v>
      </c>
      <c r="E901" s="19" t="s">
        <v>18</v>
      </c>
      <c r="F901" s="19">
        <v>100</v>
      </c>
      <c r="G901" s="19">
        <v>100</v>
      </c>
      <c r="H901" s="24">
        <f>IF(G901/F901*100&gt;100,100,G901/F901*100)</f>
        <v>100</v>
      </c>
      <c r="I901" s="19"/>
      <c r="J901" s="19"/>
      <c r="K901" s="455"/>
      <c r="L901" s="19"/>
      <c r="M901" s="476"/>
      <c r="N901" s="476"/>
      <c r="O901" s="24"/>
      <c r="P901" s="468"/>
      <c r="Q901" s="35"/>
      <c r="R901" s="19"/>
      <c r="S901" s="557"/>
      <c r="T901" s="2"/>
    </row>
    <row r="902" spans="1:20" s="1" customFormat="1" ht="48" customHeight="1" x14ac:dyDescent="0.35">
      <c r="A902" s="605"/>
      <c r="B902" s="541"/>
      <c r="C902" s="19" t="s">
        <v>23</v>
      </c>
      <c r="D902" s="41" t="s">
        <v>108</v>
      </c>
      <c r="E902" s="19" t="s">
        <v>18</v>
      </c>
      <c r="F902" s="19">
        <v>100</v>
      </c>
      <c r="G902" s="19">
        <v>100</v>
      </c>
      <c r="H902" s="24">
        <f>IF(G902/F902*100&gt;100,100,G902/F902*100)</f>
        <v>100</v>
      </c>
      <c r="I902" s="19"/>
      <c r="J902" s="129"/>
      <c r="K902" s="41"/>
      <c r="L902" s="19"/>
      <c r="M902" s="122"/>
      <c r="N902" s="122"/>
      <c r="O902" s="24"/>
      <c r="P902" s="468"/>
      <c r="Q902" s="35"/>
      <c r="R902" s="19"/>
      <c r="S902" s="557"/>
      <c r="T902" s="2"/>
    </row>
    <row r="903" spans="1:20" s="1" customFormat="1" ht="69" customHeight="1" x14ac:dyDescent="0.35">
      <c r="A903" s="605"/>
      <c r="B903" s="541"/>
      <c r="C903" s="19" t="s">
        <v>109</v>
      </c>
      <c r="D903" s="41" t="s">
        <v>17</v>
      </c>
      <c r="E903" s="19" t="s">
        <v>18</v>
      </c>
      <c r="F903" s="19">
        <v>90</v>
      </c>
      <c r="G903" s="19">
        <v>100</v>
      </c>
      <c r="H903" s="24">
        <f>IF(G903/F903*100&gt;100,100,G903/F903*100)</f>
        <v>100</v>
      </c>
      <c r="I903" s="19"/>
      <c r="J903" s="129"/>
      <c r="K903" s="41"/>
      <c r="L903" s="19"/>
      <c r="M903" s="122"/>
      <c r="N903" s="122"/>
      <c r="O903" s="24"/>
      <c r="P903" s="468"/>
      <c r="Q903" s="35"/>
      <c r="R903" s="19"/>
      <c r="S903" s="557"/>
      <c r="T903" s="2"/>
    </row>
    <row r="904" spans="1:20" s="1" customFormat="1" ht="132" customHeight="1" x14ac:dyDescent="0.35">
      <c r="A904" s="605"/>
      <c r="B904" s="541"/>
      <c r="C904" s="19" t="s">
        <v>110</v>
      </c>
      <c r="D904" s="41" t="s">
        <v>111</v>
      </c>
      <c r="E904" s="19" t="s">
        <v>18</v>
      </c>
      <c r="F904" s="19">
        <v>100</v>
      </c>
      <c r="G904" s="19">
        <v>100</v>
      </c>
      <c r="H904" s="24">
        <f>IF(G904/F904*100&gt;100,100,G904/F904*100)</f>
        <v>100</v>
      </c>
      <c r="I904" s="19"/>
      <c r="J904" s="129"/>
      <c r="K904" s="41"/>
      <c r="L904" s="19"/>
      <c r="M904" s="122"/>
      <c r="N904" s="122"/>
      <c r="O904" s="24"/>
      <c r="P904" s="468"/>
      <c r="Q904" s="35"/>
      <c r="R904" s="19"/>
      <c r="S904" s="557"/>
      <c r="T904" s="2"/>
    </row>
    <row r="905" spans="1:20" s="1" customFormat="1" ht="40.5" customHeight="1" x14ac:dyDescent="0.35">
      <c r="A905" s="605"/>
      <c r="B905" s="541"/>
      <c r="C905" s="465"/>
      <c r="D905" s="466" t="s">
        <v>644</v>
      </c>
      <c r="E905" s="465"/>
      <c r="F905" s="20"/>
      <c r="G905" s="20"/>
      <c r="H905" s="18"/>
      <c r="I905" s="18">
        <f>(H900+H901+H902+H903+H904)/5</f>
        <v>100</v>
      </c>
      <c r="J905" s="128"/>
      <c r="K905" s="466" t="s">
        <v>644</v>
      </c>
      <c r="L905" s="20"/>
      <c r="M905" s="124"/>
      <c r="N905" s="124"/>
      <c r="O905" s="18"/>
      <c r="P905" s="18">
        <f>O900</f>
        <v>98.168498168498161</v>
      </c>
      <c r="Q905" s="18">
        <f>(I905+P905)/2</f>
        <v>99.08424908424908</v>
      </c>
      <c r="R905" s="465" t="s">
        <v>112</v>
      </c>
      <c r="S905" s="557"/>
      <c r="T905" s="2"/>
    </row>
    <row r="906" spans="1:20" s="1" customFormat="1" ht="92.25" customHeight="1" x14ac:dyDescent="0.35">
      <c r="A906" s="605"/>
      <c r="B906" s="541"/>
      <c r="C906" s="454" t="s">
        <v>26</v>
      </c>
      <c r="D906" s="59" t="s">
        <v>113</v>
      </c>
      <c r="E906" s="19"/>
      <c r="F906" s="19"/>
      <c r="G906" s="19"/>
      <c r="H906" s="35"/>
      <c r="I906" s="35"/>
      <c r="J906" s="454" t="s">
        <v>26</v>
      </c>
      <c r="K906" s="59" t="s">
        <v>113</v>
      </c>
      <c r="L906" s="19"/>
      <c r="M906" s="122"/>
      <c r="N906" s="122"/>
      <c r="O906" s="35"/>
      <c r="P906" s="468"/>
      <c r="Q906" s="35"/>
      <c r="R906" s="19"/>
      <c r="S906" s="557"/>
      <c r="T906" s="2"/>
    </row>
    <row r="907" spans="1:20" s="1" customFormat="1" ht="78" customHeight="1" x14ac:dyDescent="0.35">
      <c r="A907" s="605"/>
      <c r="B907" s="541"/>
      <c r="C907" s="19" t="s">
        <v>28</v>
      </c>
      <c r="D907" s="41" t="s">
        <v>114</v>
      </c>
      <c r="E907" s="19" t="s">
        <v>18</v>
      </c>
      <c r="F907" s="19">
        <v>100</v>
      </c>
      <c r="G907" s="19">
        <v>100</v>
      </c>
      <c r="H907" s="24">
        <f>IF(G907/F907*100&gt;100,100,G907/F907*100)</f>
        <v>100</v>
      </c>
      <c r="I907" s="19"/>
      <c r="J907" s="129" t="s">
        <v>28</v>
      </c>
      <c r="K907" s="41" t="s">
        <v>106</v>
      </c>
      <c r="L907" s="19" t="s">
        <v>20</v>
      </c>
      <c r="M907" s="19">
        <v>348</v>
      </c>
      <c r="N907" s="19">
        <v>344</v>
      </c>
      <c r="O907" s="24">
        <f>IF(N907/M907*100&gt;110,110,N907/M907*100)</f>
        <v>98.850574712643677</v>
      </c>
      <c r="P907" s="19"/>
      <c r="Q907" s="35"/>
      <c r="R907" s="19"/>
      <c r="S907" s="557"/>
      <c r="T907" s="2"/>
    </row>
    <row r="908" spans="1:20" s="1" customFormat="1" ht="32.25" customHeight="1" x14ac:dyDescent="0.35">
      <c r="A908" s="605"/>
      <c r="B908" s="541"/>
      <c r="C908" s="19" t="s">
        <v>30</v>
      </c>
      <c r="D908" s="41" t="s">
        <v>115</v>
      </c>
      <c r="E908" s="19" t="s">
        <v>18</v>
      </c>
      <c r="F908" s="19">
        <v>100</v>
      </c>
      <c r="G908" s="19">
        <v>100</v>
      </c>
      <c r="H908" s="24">
        <f>IF(G908/F908*100&gt;100,100,G908/F908*100)</f>
        <v>100</v>
      </c>
      <c r="I908" s="19"/>
      <c r="J908" s="129"/>
      <c r="K908" s="41"/>
      <c r="L908" s="19"/>
      <c r="M908" s="122"/>
      <c r="N908" s="122"/>
      <c r="O908" s="24"/>
      <c r="P908" s="468"/>
      <c r="Q908" s="35"/>
      <c r="R908" s="19"/>
      <c r="S908" s="557"/>
      <c r="T908" s="2"/>
    </row>
    <row r="909" spans="1:20" s="1" customFormat="1" ht="49.5" customHeight="1" x14ac:dyDescent="0.35">
      <c r="A909" s="605"/>
      <c r="B909" s="541"/>
      <c r="C909" s="19" t="s">
        <v>34</v>
      </c>
      <c r="D909" s="41" t="s">
        <v>108</v>
      </c>
      <c r="E909" s="19" t="s">
        <v>18</v>
      </c>
      <c r="F909" s="19">
        <v>100</v>
      </c>
      <c r="G909" s="19">
        <v>100</v>
      </c>
      <c r="H909" s="24">
        <f>IF(G909/F909*100&gt;100,100,G909/F909*100)</f>
        <v>100</v>
      </c>
      <c r="I909" s="19"/>
      <c r="J909" s="129"/>
      <c r="K909" s="41"/>
      <c r="L909" s="19"/>
      <c r="M909" s="122"/>
      <c r="N909" s="122"/>
      <c r="O909" s="24"/>
      <c r="P909" s="468"/>
      <c r="Q909" s="35"/>
      <c r="R909" s="19"/>
      <c r="S909" s="557"/>
      <c r="T909" s="2"/>
    </row>
    <row r="910" spans="1:20" s="1" customFormat="1" ht="76.5" customHeight="1" x14ac:dyDescent="0.35">
      <c r="A910" s="605"/>
      <c r="B910" s="541"/>
      <c r="C910" s="19" t="s">
        <v>78</v>
      </c>
      <c r="D910" s="41" t="s">
        <v>17</v>
      </c>
      <c r="E910" s="19" t="s">
        <v>18</v>
      </c>
      <c r="F910" s="19">
        <v>90</v>
      </c>
      <c r="G910" s="19">
        <v>100</v>
      </c>
      <c r="H910" s="24">
        <f>IF(G910/F910*100&gt;100,100,G910/F910*100)</f>
        <v>100</v>
      </c>
      <c r="I910" s="19"/>
      <c r="J910" s="129"/>
      <c r="K910" s="41"/>
      <c r="L910" s="19"/>
      <c r="M910" s="122"/>
      <c r="N910" s="122"/>
      <c r="O910" s="24"/>
      <c r="P910" s="468"/>
      <c r="Q910" s="35"/>
      <c r="R910" s="19"/>
      <c r="S910" s="557"/>
      <c r="T910" s="2"/>
    </row>
    <row r="911" spans="1:20" s="1" customFormat="1" ht="123.75" customHeight="1" x14ac:dyDescent="0.35">
      <c r="A911" s="605"/>
      <c r="B911" s="541"/>
      <c r="C911" s="19" t="s">
        <v>79</v>
      </c>
      <c r="D911" s="41" t="s">
        <v>111</v>
      </c>
      <c r="E911" s="19" t="s">
        <v>18</v>
      </c>
      <c r="F911" s="19">
        <v>100</v>
      </c>
      <c r="G911" s="19">
        <v>100</v>
      </c>
      <c r="H911" s="24">
        <f>IF(G911/F911*100&gt;100,100,G911/F911*100)</f>
        <v>100</v>
      </c>
      <c r="I911" s="19"/>
      <c r="J911" s="129"/>
      <c r="K911" s="41"/>
      <c r="L911" s="19"/>
      <c r="M911" s="122"/>
      <c r="N911" s="122"/>
      <c r="O911" s="24"/>
      <c r="P911" s="468"/>
      <c r="Q911" s="35"/>
      <c r="R911" s="19"/>
      <c r="S911" s="557"/>
      <c r="T911" s="2"/>
    </row>
    <row r="912" spans="1:20" s="1" customFormat="1" ht="40.5" customHeight="1" x14ac:dyDescent="0.35">
      <c r="A912" s="605"/>
      <c r="B912" s="541"/>
      <c r="C912" s="465"/>
      <c r="D912" s="466" t="s">
        <v>644</v>
      </c>
      <c r="E912" s="465"/>
      <c r="F912" s="20"/>
      <c r="G912" s="20"/>
      <c r="H912" s="18"/>
      <c r="I912" s="18">
        <f>(H907+H908+H909+H910+H911)/5</f>
        <v>100</v>
      </c>
      <c r="J912" s="128"/>
      <c r="K912" s="466" t="s">
        <v>644</v>
      </c>
      <c r="L912" s="20"/>
      <c r="M912" s="124"/>
      <c r="N912" s="124"/>
      <c r="O912" s="18"/>
      <c r="P912" s="18">
        <f>O907</f>
        <v>98.850574712643677</v>
      </c>
      <c r="Q912" s="18">
        <f>(I912+P912)/2</f>
        <v>99.425287356321832</v>
      </c>
      <c r="R912" s="465" t="s">
        <v>112</v>
      </c>
      <c r="S912" s="557"/>
      <c r="T912" s="2"/>
    </row>
    <row r="913" spans="1:20" s="1" customFormat="1" ht="75" customHeight="1" x14ac:dyDescent="0.35">
      <c r="A913" s="605"/>
      <c r="B913" s="541"/>
      <c r="C913" s="454" t="s">
        <v>36</v>
      </c>
      <c r="D913" s="59" t="s">
        <v>116</v>
      </c>
      <c r="E913" s="19"/>
      <c r="F913" s="19"/>
      <c r="G913" s="19"/>
      <c r="H913" s="35"/>
      <c r="I913" s="35"/>
      <c r="J913" s="454" t="s">
        <v>36</v>
      </c>
      <c r="K913" s="59" t="str">
        <f>D913</f>
        <v>Реализация основных общеобразовательных программ среднего общего образования</v>
      </c>
      <c r="L913" s="19"/>
      <c r="M913" s="122"/>
      <c r="N913" s="122"/>
      <c r="O913" s="35"/>
      <c r="P913" s="468"/>
      <c r="Q913" s="35"/>
      <c r="R913" s="19"/>
      <c r="S913" s="557"/>
      <c r="T913" s="2"/>
    </row>
    <row r="914" spans="1:20" s="1" customFormat="1" ht="70.5" customHeight="1" x14ac:dyDescent="0.35">
      <c r="A914" s="605"/>
      <c r="B914" s="541"/>
      <c r="C914" s="19" t="s">
        <v>38</v>
      </c>
      <c r="D914" s="41" t="s">
        <v>117</v>
      </c>
      <c r="E914" s="19" t="s">
        <v>18</v>
      </c>
      <c r="F914" s="19">
        <v>100</v>
      </c>
      <c r="G914" s="19">
        <v>100</v>
      </c>
      <c r="H914" s="24">
        <f>IF(G914/F914*100&gt;100,100,G914/F914*100)</f>
        <v>100</v>
      </c>
      <c r="I914" s="19"/>
      <c r="J914" s="129" t="s">
        <v>38</v>
      </c>
      <c r="K914" s="41" t="s">
        <v>106</v>
      </c>
      <c r="L914" s="19" t="s">
        <v>20</v>
      </c>
      <c r="M914" s="19">
        <v>82</v>
      </c>
      <c r="N914" s="19">
        <v>80</v>
      </c>
      <c r="O914" s="24">
        <f>IF(N914/M914*100&gt;110,110,N914/M914*100)</f>
        <v>97.560975609756099</v>
      </c>
      <c r="P914" s="19"/>
      <c r="Q914" s="35"/>
      <c r="R914" s="19"/>
      <c r="S914" s="557"/>
      <c r="T914" s="2"/>
    </row>
    <row r="915" spans="1:20" s="1" customFormat="1" ht="27.75" customHeight="1" x14ac:dyDescent="0.35">
      <c r="A915" s="605"/>
      <c r="B915" s="541"/>
      <c r="C915" s="19" t="s">
        <v>118</v>
      </c>
      <c r="D915" s="41" t="s">
        <v>119</v>
      </c>
      <c r="E915" s="19" t="s">
        <v>18</v>
      </c>
      <c r="F915" s="19">
        <v>100</v>
      </c>
      <c r="G915" s="19">
        <v>100</v>
      </c>
      <c r="H915" s="24">
        <f>IF(G915/F915*100&gt;100,100,G915/F915*100)</f>
        <v>100</v>
      </c>
      <c r="I915" s="19"/>
      <c r="J915" s="129"/>
      <c r="K915" s="41"/>
      <c r="L915" s="19"/>
      <c r="M915" s="122"/>
      <c r="N915" s="122"/>
      <c r="O915" s="24"/>
      <c r="P915" s="468"/>
      <c r="Q915" s="35"/>
      <c r="R915" s="19"/>
      <c r="S915" s="557"/>
      <c r="T915" s="2"/>
    </row>
    <row r="916" spans="1:20" s="1" customFormat="1" ht="57.75" customHeight="1" x14ac:dyDescent="0.35">
      <c r="A916" s="605"/>
      <c r="B916" s="541"/>
      <c r="C916" s="19" t="s">
        <v>120</v>
      </c>
      <c r="D916" s="41" t="s">
        <v>108</v>
      </c>
      <c r="E916" s="19" t="s">
        <v>18</v>
      </c>
      <c r="F916" s="19">
        <v>100</v>
      </c>
      <c r="G916" s="19">
        <v>100</v>
      </c>
      <c r="H916" s="24">
        <f>IF(G916/F916*100&gt;100,100,G916/F916*100)</f>
        <v>100</v>
      </c>
      <c r="I916" s="19"/>
      <c r="J916" s="129"/>
      <c r="K916" s="41"/>
      <c r="L916" s="19"/>
      <c r="M916" s="122"/>
      <c r="N916" s="122"/>
      <c r="O916" s="24"/>
      <c r="P916" s="468"/>
      <c r="Q916" s="35"/>
      <c r="R916" s="19"/>
      <c r="S916" s="557"/>
      <c r="T916" s="2"/>
    </row>
    <row r="917" spans="1:20" s="1" customFormat="1" ht="71.25" customHeight="1" x14ac:dyDescent="0.35">
      <c r="A917" s="605"/>
      <c r="B917" s="541"/>
      <c r="C917" s="19" t="s">
        <v>121</v>
      </c>
      <c r="D917" s="41" t="s">
        <v>17</v>
      </c>
      <c r="E917" s="19" t="s">
        <v>18</v>
      </c>
      <c r="F917" s="19">
        <v>90</v>
      </c>
      <c r="G917" s="19">
        <v>100</v>
      </c>
      <c r="H917" s="24">
        <f>IF(G917/F917*100&gt;100,100,G917/F917*100)</f>
        <v>100</v>
      </c>
      <c r="I917" s="19"/>
      <c r="J917" s="129"/>
      <c r="K917" s="41"/>
      <c r="L917" s="19"/>
      <c r="M917" s="122"/>
      <c r="N917" s="122"/>
      <c r="O917" s="24"/>
      <c r="P917" s="468"/>
      <c r="Q917" s="35"/>
      <c r="R917" s="19"/>
      <c r="S917" s="557"/>
      <c r="T917" s="2"/>
    </row>
    <row r="918" spans="1:20" s="1" customFormat="1" ht="123" customHeight="1" x14ac:dyDescent="0.35">
      <c r="A918" s="605"/>
      <c r="B918" s="541"/>
      <c r="C918" s="19" t="s">
        <v>122</v>
      </c>
      <c r="D918" s="41" t="s">
        <v>111</v>
      </c>
      <c r="E918" s="19" t="s">
        <v>18</v>
      </c>
      <c r="F918" s="19">
        <v>100</v>
      </c>
      <c r="G918" s="19">
        <v>100</v>
      </c>
      <c r="H918" s="24">
        <f>IF(G918/F918*100&gt;100,100,G918/F918*100)</f>
        <v>100</v>
      </c>
      <c r="I918" s="19"/>
      <c r="J918" s="129"/>
      <c r="K918" s="41"/>
      <c r="L918" s="19"/>
      <c r="M918" s="122"/>
      <c r="N918" s="122"/>
      <c r="O918" s="24"/>
      <c r="P918" s="468"/>
      <c r="Q918" s="35"/>
      <c r="R918" s="19"/>
      <c r="S918" s="557"/>
      <c r="T918" s="2"/>
    </row>
    <row r="919" spans="1:20" s="1" customFormat="1" ht="40.5" customHeight="1" x14ac:dyDescent="0.35">
      <c r="A919" s="605"/>
      <c r="B919" s="541"/>
      <c r="C919" s="465"/>
      <c r="D919" s="466" t="s">
        <v>644</v>
      </c>
      <c r="E919" s="465"/>
      <c r="F919" s="20"/>
      <c r="G919" s="20"/>
      <c r="H919" s="18"/>
      <c r="I919" s="18">
        <f>(H914+H915+H916+H917+H918)/5</f>
        <v>100</v>
      </c>
      <c r="J919" s="128"/>
      <c r="K919" s="466" t="s">
        <v>644</v>
      </c>
      <c r="L919" s="20"/>
      <c r="M919" s="124"/>
      <c r="N919" s="124"/>
      <c r="O919" s="18"/>
      <c r="P919" s="18">
        <f>O914</f>
        <v>97.560975609756099</v>
      </c>
      <c r="Q919" s="18">
        <f>(I919+P919)/2</f>
        <v>98.780487804878049</v>
      </c>
      <c r="R919" s="465" t="s">
        <v>112</v>
      </c>
      <c r="S919" s="557"/>
      <c r="T919" s="2"/>
    </row>
    <row r="920" spans="1:20" s="1" customFormat="1" ht="45" customHeight="1" x14ac:dyDescent="0.35">
      <c r="A920" s="605"/>
      <c r="B920" s="541"/>
      <c r="C920" s="454" t="s">
        <v>123</v>
      </c>
      <c r="D920" s="59" t="s">
        <v>27</v>
      </c>
      <c r="E920" s="19"/>
      <c r="F920" s="19"/>
      <c r="G920" s="19"/>
      <c r="H920" s="35"/>
      <c r="I920" s="35"/>
      <c r="J920" s="454" t="s">
        <v>123</v>
      </c>
      <c r="K920" s="59" t="s">
        <v>27</v>
      </c>
      <c r="L920" s="19"/>
      <c r="M920" s="122"/>
      <c r="N920" s="122"/>
      <c r="O920" s="35"/>
      <c r="P920" s="468"/>
      <c r="Q920" s="35"/>
      <c r="R920" s="19"/>
      <c r="S920" s="557"/>
      <c r="T920" s="2"/>
    </row>
    <row r="921" spans="1:20" s="1" customFormat="1" ht="45" customHeight="1" x14ac:dyDescent="0.35">
      <c r="A921" s="605"/>
      <c r="B921" s="541"/>
      <c r="C921" s="19" t="s">
        <v>124</v>
      </c>
      <c r="D921" s="41" t="s">
        <v>125</v>
      </c>
      <c r="E921" s="19" t="s">
        <v>18</v>
      </c>
      <c r="F921" s="19">
        <v>100</v>
      </c>
      <c r="G921" s="19">
        <v>100</v>
      </c>
      <c r="H921" s="24">
        <f>IF(G921/F921*100&gt;100,100,G921/F921*100)</f>
        <v>100</v>
      </c>
      <c r="I921" s="19"/>
      <c r="J921" s="129" t="s">
        <v>124</v>
      </c>
      <c r="K921" s="41" t="s">
        <v>106</v>
      </c>
      <c r="L921" s="19" t="s">
        <v>20</v>
      </c>
      <c r="M921" s="19">
        <v>67</v>
      </c>
      <c r="N921" s="19">
        <v>66</v>
      </c>
      <c r="O921" s="24">
        <f>IF(N921/M921*100&gt;110,110,N921/M921*100)</f>
        <v>98.507462686567166</v>
      </c>
      <c r="P921" s="468"/>
      <c r="Q921" s="35"/>
      <c r="R921" s="19"/>
      <c r="S921" s="557"/>
      <c r="T921" s="2"/>
    </row>
    <row r="922" spans="1:20" s="1" customFormat="1" ht="84" customHeight="1" x14ac:dyDescent="0.35">
      <c r="A922" s="605"/>
      <c r="B922" s="541"/>
      <c r="C922" s="19" t="s">
        <v>127</v>
      </c>
      <c r="D922" s="41" t="s">
        <v>128</v>
      </c>
      <c r="E922" s="19" t="s">
        <v>18</v>
      </c>
      <c r="F922" s="19">
        <v>90</v>
      </c>
      <c r="G922" s="19">
        <v>90</v>
      </c>
      <c r="H922" s="24">
        <f>IF(G922/F922*100&gt;100,100,G922/F922*100)</f>
        <v>100</v>
      </c>
      <c r="I922" s="19"/>
      <c r="J922" s="129"/>
      <c r="K922" s="41"/>
      <c r="L922" s="19"/>
      <c r="M922" s="122"/>
      <c r="N922" s="122"/>
      <c r="O922" s="24"/>
      <c r="P922" s="468"/>
      <c r="Q922" s="35"/>
      <c r="R922" s="19"/>
      <c r="S922" s="557"/>
      <c r="T922" s="2"/>
    </row>
    <row r="923" spans="1:20" s="1" customFormat="1" ht="40.5" customHeight="1" x14ac:dyDescent="0.35">
      <c r="A923" s="605"/>
      <c r="B923" s="541"/>
      <c r="C923" s="465"/>
      <c r="D923" s="466" t="s">
        <v>644</v>
      </c>
      <c r="E923" s="465"/>
      <c r="F923" s="20"/>
      <c r="G923" s="20"/>
      <c r="H923" s="18"/>
      <c r="I923" s="18">
        <f>(H921+H922)/2</f>
        <v>100</v>
      </c>
      <c r="J923" s="128"/>
      <c r="K923" s="466" t="s">
        <v>644</v>
      </c>
      <c r="L923" s="20"/>
      <c r="M923" s="124"/>
      <c r="N923" s="124"/>
      <c r="O923" s="18"/>
      <c r="P923" s="18">
        <f>O921</f>
        <v>98.507462686567166</v>
      </c>
      <c r="Q923" s="18">
        <f>(I923+P923)/2</f>
        <v>99.25373134328359</v>
      </c>
      <c r="R923" s="465" t="s">
        <v>112</v>
      </c>
      <c r="S923" s="557"/>
      <c r="T923" s="2"/>
    </row>
    <row r="924" spans="1:20" s="1" customFormat="1" ht="240.75" customHeight="1" x14ac:dyDescent="0.35">
      <c r="A924" s="605"/>
      <c r="B924" s="541"/>
      <c r="C924" s="454" t="s">
        <v>129</v>
      </c>
      <c r="D924" s="59" t="s">
        <v>274</v>
      </c>
      <c r="E924" s="454"/>
      <c r="F924" s="454"/>
      <c r="G924" s="454"/>
      <c r="H924" s="35"/>
      <c r="I924" s="35"/>
      <c r="J924" s="454" t="s">
        <v>129</v>
      </c>
      <c r="K924" s="59" t="s">
        <v>274</v>
      </c>
      <c r="L924" s="19"/>
      <c r="M924" s="19"/>
      <c r="N924" s="19"/>
      <c r="O924" s="35"/>
      <c r="P924" s="468"/>
      <c r="Q924" s="35"/>
      <c r="R924" s="19"/>
      <c r="S924" s="557"/>
      <c r="T924" s="2"/>
    </row>
    <row r="925" spans="1:20" s="1" customFormat="1" ht="72.75" customHeight="1" x14ac:dyDescent="0.35">
      <c r="A925" s="605"/>
      <c r="B925" s="541"/>
      <c r="C925" s="19" t="s">
        <v>131</v>
      </c>
      <c r="D925" s="41" t="s">
        <v>17</v>
      </c>
      <c r="E925" s="19" t="s">
        <v>18</v>
      </c>
      <c r="F925" s="19">
        <v>90</v>
      </c>
      <c r="G925" s="19">
        <v>90</v>
      </c>
      <c r="H925" s="24">
        <f>IF(G925/F925*100&gt;100,100,G925/F925*100)</f>
        <v>100</v>
      </c>
      <c r="I925" s="19"/>
      <c r="J925" s="19" t="s">
        <v>131</v>
      </c>
      <c r="K925" s="41" t="s">
        <v>273</v>
      </c>
      <c r="L925" s="19" t="s">
        <v>41</v>
      </c>
      <c r="M925" s="19">
        <v>60</v>
      </c>
      <c r="N925" s="19">
        <v>60</v>
      </c>
      <c r="O925" s="24">
        <f>IF(N925/M925*100&gt;110,110,N925/M925*100)</f>
        <v>100</v>
      </c>
      <c r="P925" s="468"/>
      <c r="Q925" s="35"/>
      <c r="R925" s="19"/>
      <c r="S925" s="557"/>
      <c r="T925" s="2"/>
    </row>
    <row r="926" spans="1:20" s="1" customFormat="1" ht="40.5" customHeight="1" x14ac:dyDescent="0.35">
      <c r="A926" s="605"/>
      <c r="B926" s="541"/>
      <c r="C926" s="465"/>
      <c r="D926" s="466" t="s">
        <v>644</v>
      </c>
      <c r="E926" s="465"/>
      <c r="F926" s="20"/>
      <c r="G926" s="20"/>
      <c r="H926" s="18"/>
      <c r="I926" s="18">
        <f>H925</f>
        <v>100</v>
      </c>
      <c r="J926" s="128"/>
      <c r="K926" s="466" t="s">
        <v>644</v>
      </c>
      <c r="L926" s="20"/>
      <c r="M926" s="124"/>
      <c r="N926" s="124"/>
      <c r="O926" s="18"/>
      <c r="P926" s="18">
        <f>O925</f>
        <v>100</v>
      </c>
      <c r="Q926" s="18">
        <f>(I926+P926)/2</f>
        <v>100</v>
      </c>
      <c r="R926" s="465" t="s">
        <v>25</v>
      </c>
      <c r="S926" s="557"/>
      <c r="T926" s="2"/>
    </row>
    <row r="927" spans="1:20" s="1" customFormat="1" ht="62.25" customHeight="1" x14ac:dyDescent="0.35">
      <c r="A927" s="605"/>
      <c r="B927" s="541"/>
      <c r="C927" s="454" t="s">
        <v>140</v>
      </c>
      <c r="D927" s="59" t="s">
        <v>130</v>
      </c>
      <c r="E927" s="19"/>
      <c r="F927" s="19"/>
      <c r="G927" s="19"/>
      <c r="H927" s="35"/>
      <c r="I927" s="35"/>
      <c r="J927" s="454" t="s">
        <v>140</v>
      </c>
      <c r="K927" s="59" t="str">
        <f>D927</f>
        <v>Реализация дополнительных общеразвивающих программ</v>
      </c>
      <c r="L927" s="19"/>
      <c r="M927" s="122"/>
      <c r="N927" s="122"/>
      <c r="O927" s="35"/>
      <c r="P927" s="468"/>
      <c r="Q927" s="35"/>
      <c r="R927" s="19"/>
      <c r="S927" s="557"/>
      <c r="T927" s="2"/>
    </row>
    <row r="928" spans="1:20" s="1" customFormat="1" ht="81.75" customHeight="1" x14ac:dyDescent="0.35">
      <c r="A928" s="605"/>
      <c r="B928" s="541"/>
      <c r="C928" s="19" t="s">
        <v>142</v>
      </c>
      <c r="D928" s="41" t="s">
        <v>128</v>
      </c>
      <c r="E928" s="19" t="s">
        <v>18</v>
      </c>
      <c r="F928" s="19">
        <v>90</v>
      </c>
      <c r="G928" s="19">
        <v>90</v>
      </c>
      <c r="H928" s="24">
        <f>IF(G928/F928*100&gt;100,100,G928/F928*100)</f>
        <v>100</v>
      </c>
      <c r="I928" s="19"/>
      <c r="J928" s="129" t="s">
        <v>142</v>
      </c>
      <c r="K928" s="41" t="s">
        <v>136</v>
      </c>
      <c r="L928" s="19" t="s">
        <v>139</v>
      </c>
      <c r="M928" s="19">
        <v>43698</v>
      </c>
      <c r="N928" s="19">
        <v>43698</v>
      </c>
      <c r="O928" s="24">
        <f>IF(N928/M928*100&gt;110,110,N928/M928*100)</f>
        <v>100</v>
      </c>
      <c r="P928" s="468"/>
      <c r="Q928" s="35"/>
      <c r="R928" s="19"/>
      <c r="S928" s="557"/>
      <c r="T928" s="2"/>
    </row>
    <row r="929" spans="1:20" s="1" customFormat="1" ht="40.5" customHeight="1" x14ac:dyDescent="0.35">
      <c r="A929" s="605"/>
      <c r="B929" s="541"/>
      <c r="C929" s="465"/>
      <c r="D929" s="466" t="s">
        <v>644</v>
      </c>
      <c r="E929" s="465"/>
      <c r="F929" s="20"/>
      <c r="G929" s="20"/>
      <c r="H929" s="18"/>
      <c r="I929" s="18">
        <f>H928</f>
        <v>100</v>
      </c>
      <c r="J929" s="128"/>
      <c r="K929" s="466" t="s">
        <v>644</v>
      </c>
      <c r="L929" s="20"/>
      <c r="M929" s="124"/>
      <c r="N929" s="124"/>
      <c r="O929" s="18"/>
      <c r="P929" s="18">
        <f>O928</f>
        <v>100</v>
      </c>
      <c r="Q929" s="18">
        <f>(I929+P929)/2</f>
        <v>100</v>
      </c>
      <c r="R929" s="465" t="s">
        <v>25</v>
      </c>
      <c r="S929" s="557"/>
      <c r="T929" s="2"/>
    </row>
    <row r="930" spans="1:20" s="1" customFormat="1" ht="83.25" customHeight="1" x14ac:dyDescent="0.35">
      <c r="A930" s="605">
        <v>50</v>
      </c>
      <c r="B930" s="541" t="s">
        <v>168</v>
      </c>
      <c r="C930" s="454" t="s">
        <v>13</v>
      </c>
      <c r="D930" s="59" t="s">
        <v>103</v>
      </c>
      <c r="E930" s="454"/>
      <c r="F930" s="454"/>
      <c r="G930" s="454"/>
      <c r="H930" s="35"/>
      <c r="I930" s="35"/>
      <c r="J930" s="454" t="s">
        <v>13</v>
      </c>
      <c r="K930" s="59" t="s">
        <v>103</v>
      </c>
      <c r="L930" s="19"/>
      <c r="M930" s="19"/>
      <c r="N930" s="19"/>
      <c r="O930" s="35"/>
      <c r="P930" s="468"/>
      <c r="Q930" s="35"/>
      <c r="R930" s="19"/>
      <c r="S930" s="557" t="s">
        <v>104</v>
      </c>
      <c r="T930" s="2"/>
    </row>
    <row r="931" spans="1:20" s="1" customFormat="1" ht="71.25" customHeight="1" x14ac:dyDescent="0.35">
      <c r="A931" s="605"/>
      <c r="B931" s="541"/>
      <c r="C931" s="19" t="s">
        <v>16</v>
      </c>
      <c r="D931" s="41" t="s">
        <v>105</v>
      </c>
      <c r="E931" s="19" t="s">
        <v>18</v>
      </c>
      <c r="F931" s="19">
        <v>100</v>
      </c>
      <c r="G931" s="19">
        <v>100</v>
      </c>
      <c r="H931" s="24">
        <f>IF(G931/F931*100&gt;100,100,G931/F931*100)</f>
        <v>100</v>
      </c>
      <c r="I931" s="19"/>
      <c r="J931" s="19" t="s">
        <v>16</v>
      </c>
      <c r="K931" s="41" t="s">
        <v>106</v>
      </c>
      <c r="L931" s="19" t="s">
        <v>20</v>
      </c>
      <c r="M931" s="19">
        <v>357</v>
      </c>
      <c r="N931" s="19">
        <v>361</v>
      </c>
      <c r="O931" s="24">
        <f>IF(N931/M931*100&gt;110,110,N931/M931*100)</f>
        <v>101.1204481792717</v>
      </c>
      <c r="P931" s="468"/>
      <c r="Q931" s="35"/>
      <c r="R931" s="19"/>
      <c r="S931" s="557"/>
      <c r="T931" s="2"/>
    </row>
    <row r="932" spans="1:20" s="1" customFormat="1" x14ac:dyDescent="0.35">
      <c r="A932" s="605"/>
      <c r="B932" s="541"/>
      <c r="C932" s="19" t="s">
        <v>21</v>
      </c>
      <c r="D932" s="41" t="s">
        <v>135</v>
      </c>
      <c r="E932" s="19" t="s">
        <v>18</v>
      </c>
      <c r="F932" s="19">
        <v>100</v>
      </c>
      <c r="G932" s="19">
        <v>100</v>
      </c>
      <c r="H932" s="24">
        <f>IF(G932/F932*100&gt;100,100,G932/F932*100)</f>
        <v>100</v>
      </c>
      <c r="I932" s="19"/>
      <c r="J932" s="19"/>
      <c r="K932" s="455"/>
      <c r="L932" s="19"/>
      <c r="M932" s="476"/>
      <c r="N932" s="476"/>
      <c r="O932" s="24"/>
      <c r="P932" s="468"/>
      <c r="Q932" s="35"/>
      <c r="R932" s="19"/>
      <c r="S932" s="557"/>
      <c r="T932" s="2"/>
    </row>
    <row r="933" spans="1:20" s="1" customFormat="1" ht="43.5" customHeight="1" x14ac:dyDescent="0.35">
      <c r="A933" s="605"/>
      <c r="B933" s="541"/>
      <c r="C933" s="19" t="s">
        <v>23</v>
      </c>
      <c r="D933" s="41" t="s">
        <v>108</v>
      </c>
      <c r="E933" s="19" t="s">
        <v>18</v>
      </c>
      <c r="F933" s="19">
        <v>100</v>
      </c>
      <c r="G933" s="19">
        <v>100</v>
      </c>
      <c r="H933" s="24">
        <f>IF(G933/F933*100&gt;100,100,G933/F933*100)</f>
        <v>100</v>
      </c>
      <c r="I933" s="19"/>
      <c r="J933" s="129"/>
      <c r="K933" s="41"/>
      <c r="L933" s="19"/>
      <c r="M933" s="122"/>
      <c r="N933" s="122"/>
      <c r="O933" s="24"/>
      <c r="P933" s="468"/>
      <c r="Q933" s="35"/>
      <c r="R933" s="19"/>
      <c r="S933" s="557"/>
      <c r="T933" s="2"/>
    </row>
    <row r="934" spans="1:20" s="1" customFormat="1" ht="75" customHeight="1" x14ac:dyDescent="0.35">
      <c r="A934" s="605"/>
      <c r="B934" s="541"/>
      <c r="C934" s="19" t="s">
        <v>109</v>
      </c>
      <c r="D934" s="41" t="s">
        <v>17</v>
      </c>
      <c r="E934" s="19" t="s">
        <v>18</v>
      </c>
      <c r="F934" s="19">
        <v>90</v>
      </c>
      <c r="G934" s="19">
        <v>100</v>
      </c>
      <c r="H934" s="24">
        <f>IF(G934/F934*100&gt;100,100,G934/F934*100)</f>
        <v>100</v>
      </c>
      <c r="I934" s="19"/>
      <c r="J934" s="129"/>
      <c r="K934" s="41"/>
      <c r="L934" s="19"/>
      <c r="M934" s="122"/>
      <c r="N934" s="122"/>
      <c r="O934" s="24"/>
      <c r="P934" s="468"/>
      <c r="Q934" s="35"/>
      <c r="R934" s="19"/>
      <c r="S934" s="557"/>
      <c r="T934" s="2"/>
    </row>
    <row r="935" spans="1:20" s="1" customFormat="1" ht="114.75" customHeight="1" x14ac:dyDescent="0.35">
      <c r="A935" s="605"/>
      <c r="B935" s="541"/>
      <c r="C935" s="19" t="s">
        <v>110</v>
      </c>
      <c r="D935" s="41" t="s">
        <v>111</v>
      </c>
      <c r="E935" s="19" t="s">
        <v>18</v>
      </c>
      <c r="F935" s="19">
        <v>100</v>
      </c>
      <c r="G935" s="19">
        <v>100</v>
      </c>
      <c r="H935" s="24">
        <f>IF(G935/F935*100&gt;100,100,G935/F935*100)</f>
        <v>100</v>
      </c>
      <c r="I935" s="19"/>
      <c r="J935" s="129"/>
      <c r="K935" s="41"/>
      <c r="L935" s="19"/>
      <c r="M935" s="122"/>
      <c r="N935" s="122"/>
      <c r="O935" s="24"/>
      <c r="P935" s="468"/>
      <c r="Q935" s="35"/>
      <c r="R935" s="19"/>
      <c r="S935" s="557"/>
      <c r="T935" s="2"/>
    </row>
    <row r="936" spans="1:20" s="1" customFormat="1" ht="40.5" customHeight="1" x14ac:dyDescent="0.35">
      <c r="A936" s="605"/>
      <c r="B936" s="541"/>
      <c r="C936" s="465"/>
      <c r="D936" s="466" t="s">
        <v>644</v>
      </c>
      <c r="E936" s="465"/>
      <c r="F936" s="20"/>
      <c r="G936" s="20"/>
      <c r="H936" s="18"/>
      <c r="I936" s="18">
        <f>(H931+H932+H933+H934+H935)/5</f>
        <v>100</v>
      </c>
      <c r="J936" s="128"/>
      <c r="K936" s="466" t="s">
        <v>644</v>
      </c>
      <c r="L936" s="20"/>
      <c r="M936" s="124"/>
      <c r="N936" s="124"/>
      <c r="O936" s="18"/>
      <c r="P936" s="18">
        <f>O931</f>
        <v>101.1204481792717</v>
      </c>
      <c r="Q936" s="18">
        <f>(I936+P936)/2</f>
        <v>100.56022408963585</v>
      </c>
      <c r="R936" s="465" t="s">
        <v>25</v>
      </c>
      <c r="S936" s="557"/>
      <c r="T936" s="2"/>
    </row>
    <row r="937" spans="1:20" s="1" customFormat="1" ht="85.5" customHeight="1" x14ac:dyDescent="0.35">
      <c r="A937" s="605"/>
      <c r="B937" s="541"/>
      <c r="C937" s="454" t="s">
        <v>26</v>
      </c>
      <c r="D937" s="59" t="s">
        <v>113</v>
      </c>
      <c r="E937" s="19"/>
      <c r="F937" s="19"/>
      <c r="G937" s="19"/>
      <c r="H937" s="35"/>
      <c r="I937" s="35"/>
      <c r="J937" s="454" t="s">
        <v>26</v>
      </c>
      <c r="K937" s="59" t="s">
        <v>113</v>
      </c>
      <c r="L937" s="19"/>
      <c r="M937" s="122"/>
      <c r="N937" s="122"/>
      <c r="O937" s="35"/>
      <c r="P937" s="468"/>
      <c r="Q937" s="35"/>
      <c r="R937" s="19"/>
      <c r="S937" s="557"/>
      <c r="T937" s="2"/>
    </row>
    <row r="938" spans="1:20" s="1" customFormat="1" ht="72.75" customHeight="1" x14ac:dyDescent="0.35">
      <c r="A938" s="605"/>
      <c r="B938" s="541"/>
      <c r="C938" s="19" t="s">
        <v>28</v>
      </c>
      <c r="D938" s="41" t="s">
        <v>114</v>
      </c>
      <c r="E938" s="19" t="s">
        <v>18</v>
      </c>
      <c r="F938" s="19">
        <v>100</v>
      </c>
      <c r="G938" s="19">
        <v>100</v>
      </c>
      <c r="H938" s="24">
        <f>IF(G938/F938*100&gt;100,100,G938/F938*100)</f>
        <v>100</v>
      </c>
      <c r="I938" s="19"/>
      <c r="J938" s="129" t="s">
        <v>28</v>
      </c>
      <c r="K938" s="41" t="s">
        <v>106</v>
      </c>
      <c r="L938" s="19" t="s">
        <v>20</v>
      </c>
      <c r="M938" s="19">
        <v>494</v>
      </c>
      <c r="N938" s="19">
        <v>506</v>
      </c>
      <c r="O938" s="24">
        <f>IF(N938/M938*100&gt;110,110,N938/M938*100)</f>
        <v>102.42914979757086</v>
      </c>
      <c r="P938" s="19"/>
      <c r="Q938" s="35"/>
      <c r="R938" s="19"/>
      <c r="S938" s="557"/>
      <c r="T938" s="2"/>
    </row>
    <row r="939" spans="1:20" s="1" customFormat="1" x14ac:dyDescent="0.35">
      <c r="A939" s="605"/>
      <c r="B939" s="541"/>
      <c r="C939" s="19" t="s">
        <v>30</v>
      </c>
      <c r="D939" s="41" t="s">
        <v>115</v>
      </c>
      <c r="E939" s="19" t="s">
        <v>18</v>
      </c>
      <c r="F939" s="19">
        <v>100</v>
      </c>
      <c r="G939" s="19">
        <v>100</v>
      </c>
      <c r="H939" s="24">
        <f>IF(G939/F939*100&gt;100,100,G939/F939*100)</f>
        <v>100</v>
      </c>
      <c r="I939" s="19"/>
      <c r="J939" s="129"/>
      <c r="K939" s="41"/>
      <c r="L939" s="19"/>
      <c r="M939" s="122"/>
      <c r="N939" s="122"/>
      <c r="O939" s="24"/>
      <c r="P939" s="468"/>
      <c r="Q939" s="35"/>
      <c r="R939" s="19"/>
      <c r="S939" s="557"/>
      <c r="T939" s="2"/>
    </row>
    <row r="940" spans="1:20" s="1" customFormat="1" ht="42.75" customHeight="1" x14ac:dyDescent="0.35">
      <c r="A940" s="605"/>
      <c r="B940" s="541"/>
      <c r="C940" s="19" t="s">
        <v>34</v>
      </c>
      <c r="D940" s="41" t="s">
        <v>108</v>
      </c>
      <c r="E940" s="19" t="s">
        <v>18</v>
      </c>
      <c r="F940" s="19">
        <v>100</v>
      </c>
      <c r="G940" s="19">
        <v>100</v>
      </c>
      <c r="H940" s="24">
        <f>IF(G940/F940*100&gt;100,100,G940/F940*100)</f>
        <v>100</v>
      </c>
      <c r="I940" s="19"/>
      <c r="J940" s="129"/>
      <c r="K940" s="41"/>
      <c r="L940" s="19"/>
      <c r="M940" s="122"/>
      <c r="N940" s="122"/>
      <c r="O940" s="24"/>
      <c r="P940" s="468"/>
      <c r="Q940" s="35"/>
      <c r="R940" s="19"/>
      <c r="S940" s="557"/>
      <c r="T940" s="2"/>
    </row>
    <row r="941" spans="1:20" s="1" customFormat="1" ht="74.25" customHeight="1" x14ac:dyDescent="0.35">
      <c r="A941" s="605"/>
      <c r="B941" s="541"/>
      <c r="C941" s="19" t="s">
        <v>78</v>
      </c>
      <c r="D941" s="41" t="s">
        <v>17</v>
      </c>
      <c r="E941" s="19" t="s">
        <v>18</v>
      </c>
      <c r="F941" s="19">
        <v>90</v>
      </c>
      <c r="G941" s="19">
        <v>100</v>
      </c>
      <c r="H941" s="24">
        <f>IF(G941/F941*100&gt;100,100,G941/F941*100)</f>
        <v>100</v>
      </c>
      <c r="I941" s="19"/>
      <c r="J941" s="129"/>
      <c r="K941" s="41"/>
      <c r="L941" s="19"/>
      <c r="M941" s="122"/>
      <c r="N941" s="122"/>
      <c r="O941" s="24"/>
      <c r="P941" s="468"/>
      <c r="Q941" s="35"/>
      <c r="R941" s="19"/>
      <c r="S941" s="557"/>
      <c r="T941" s="2"/>
    </row>
    <row r="942" spans="1:20" s="1" customFormat="1" ht="126" customHeight="1" x14ac:dyDescent="0.35">
      <c r="A942" s="605"/>
      <c r="B942" s="541"/>
      <c r="C942" s="19" t="s">
        <v>79</v>
      </c>
      <c r="D942" s="41" t="s">
        <v>111</v>
      </c>
      <c r="E942" s="19" t="s">
        <v>18</v>
      </c>
      <c r="F942" s="19">
        <v>100</v>
      </c>
      <c r="G942" s="19">
        <v>100</v>
      </c>
      <c r="H942" s="24">
        <f>IF(G942/F942*100&gt;100,100,G942/F942*100)</f>
        <v>100</v>
      </c>
      <c r="I942" s="19"/>
      <c r="J942" s="129"/>
      <c r="K942" s="41"/>
      <c r="L942" s="19"/>
      <c r="M942" s="122"/>
      <c r="N942" s="122"/>
      <c r="O942" s="24"/>
      <c r="P942" s="468"/>
      <c r="Q942" s="35"/>
      <c r="R942" s="19"/>
      <c r="S942" s="557"/>
      <c r="T942" s="2"/>
    </row>
    <row r="943" spans="1:20" s="1" customFormat="1" ht="50.25" customHeight="1" x14ac:dyDescent="0.35">
      <c r="A943" s="605"/>
      <c r="B943" s="541"/>
      <c r="C943" s="465"/>
      <c r="D943" s="466" t="s">
        <v>644</v>
      </c>
      <c r="E943" s="465"/>
      <c r="F943" s="20"/>
      <c r="G943" s="20"/>
      <c r="H943" s="18"/>
      <c r="I943" s="18">
        <f>(H938+H939+H940+H941+H942)/5</f>
        <v>100</v>
      </c>
      <c r="J943" s="128"/>
      <c r="K943" s="466" t="s">
        <v>644</v>
      </c>
      <c r="L943" s="20"/>
      <c r="M943" s="124"/>
      <c r="N943" s="124"/>
      <c r="O943" s="18"/>
      <c r="P943" s="18">
        <f>O938</f>
        <v>102.42914979757086</v>
      </c>
      <c r="Q943" s="18">
        <f>(I943+P943)/2</f>
        <v>101.21457489878543</v>
      </c>
      <c r="R943" s="465" t="s">
        <v>25</v>
      </c>
      <c r="S943" s="557"/>
      <c r="T943" s="2"/>
    </row>
    <row r="944" spans="1:20" s="1" customFormat="1" ht="83.25" customHeight="1" x14ac:dyDescent="0.35">
      <c r="A944" s="605"/>
      <c r="B944" s="541"/>
      <c r="C944" s="454" t="s">
        <v>36</v>
      </c>
      <c r="D944" s="59" t="s">
        <v>116</v>
      </c>
      <c r="E944" s="19"/>
      <c r="F944" s="19"/>
      <c r="G944" s="19"/>
      <c r="H944" s="35"/>
      <c r="I944" s="35"/>
      <c r="J944" s="454" t="s">
        <v>36</v>
      </c>
      <c r="K944" s="59" t="str">
        <f>D944</f>
        <v>Реализация основных общеобразовательных программ среднего общего образования</v>
      </c>
      <c r="L944" s="19"/>
      <c r="M944" s="122"/>
      <c r="N944" s="122"/>
      <c r="O944" s="35"/>
      <c r="P944" s="468"/>
      <c r="Q944" s="35"/>
      <c r="R944" s="19"/>
      <c r="S944" s="557"/>
      <c r="T944" s="2"/>
    </row>
    <row r="945" spans="1:20" s="1" customFormat="1" ht="71.25" customHeight="1" x14ac:dyDescent="0.35">
      <c r="A945" s="605"/>
      <c r="B945" s="541"/>
      <c r="C945" s="19" t="s">
        <v>38</v>
      </c>
      <c r="D945" s="41" t="s">
        <v>117</v>
      </c>
      <c r="E945" s="19" t="s">
        <v>18</v>
      </c>
      <c r="F945" s="19">
        <v>100</v>
      </c>
      <c r="G945" s="19">
        <v>100</v>
      </c>
      <c r="H945" s="24">
        <f>IF(G945/F945*100&gt;100,100,G945/F945*100)</f>
        <v>100</v>
      </c>
      <c r="I945" s="19"/>
      <c r="J945" s="129" t="s">
        <v>38</v>
      </c>
      <c r="K945" s="41" t="s">
        <v>106</v>
      </c>
      <c r="L945" s="19" t="s">
        <v>20</v>
      </c>
      <c r="M945" s="19">
        <v>73</v>
      </c>
      <c r="N945" s="19">
        <v>67</v>
      </c>
      <c r="O945" s="24">
        <f>IF(N945/M945*100&gt;110,110,N945/M945*100)</f>
        <v>91.780821917808225</v>
      </c>
      <c r="P945" s="19"/>
      <c r="Q945" s="35"/>
      <c r="R945" s="19"/>
      <c r="S945" s="557"/>
      <c r="T945" s="2"/>
    </row>
    <row r="946" spans="1:20" s="1" customFormat="1" ht="30.75" customHeight="1" x14ac:dyDescent="0.35">
      <c r="A946" s="605"/>
      <c r="B946" s="541"/>
      <c r="C946" s="19" t="s">
        <v>118</v>
      </c>
      <c r="D946" s="41" t="s">
        <v>119</v>
      </c>
      <c r="E946" s="19" t="s">
        <v>18</v>
      </c>
      <c r="F946" s="19">
        <v>100</v>
      </c>
      <c r="G946" s="19">
        <v>100</v>
      </c>
      <c r="H946" s="24">
        <f>IF(G946/F946*100&gt;100,100,G946/F946*100)</f>
        <v>100</v>
      </c>
      <c r="I946" s="19"/>
      <c r="J946" s="129"/>
      <c r="K946" s="41"/>
      <c r="L946" s="19"/>
      <c r="M946" s="122"/>
      <c r="N946" s="122"/>
      <c r="O946" s="24"/>
      <c r="P946" s="468"/>
      <c r="Q946" s="35"/>
      <c r="R946" s="19"/>
      <c r="S946" s="557"/>
      <c r="T946" s="2"/>
    </row>
    <row r="947" spans="1:20" s="1" customFormat="1" ht="54" customHeight="1" x14ac:dyDescent="0.35">
      <c r="A947" s="605"/>
      <c r="B947" s="541"/>
      <c r="C947" s="19" t="s">
        <v>120</v>
      </c>
      <c r="D947" s="41" t="s">
        <v>108</v>
      </c>
      <c r="E947" s="19" t="s">
        <v>18</v>
      </c>
      <c r="F947" s="19">
        <v>100</v>
      </c>
      <c r="G947" s="19">
        <v>100</v>
      </c>
      <c r="H947" s="24">
        <f>IF(G947/F947*100&gt;100,100,G947/F947*100)</f>
        <v>100</v>
      </c>
      <c r="I947" s="19"/>
      <c r="J947" s="129"/>
      <c r="K947" s="41"/>
      <c r="L947" s="19"/>
      <c r="M947" s="122"/>
      <c r="N947" s="122"/>
      <c r="O947" s="24"/>
      <c r="P947" s="468"/>
      <c r="Q947" s="35"/>
      <c r="R947" s="19"/>
      <c r="S947" s="557"/>
      <c r="T947" s="2"/>
    </row>
    <row r="948" spans="1:20" s="1" customFormat="1" ht="68.25" customHeight="1" x14ac:dyDescent="0.35">
      <c r="A948" s="605"/>
      <c r="B948" s="541"/>
      <c r="C948" s="19" t="s">
        <v>121</v>
      </c>
      <c r="D948" s="41" t="s">
        <v>17</v>
      </c>
      <c r="E948" s="19" t="s">
        <v>18</v>
      </c>
      <c r="F948" s="19">
        <v>90</v>
      </c>
      <c r="G948" s="19">
        <v>100</v>
      </c>
      <c r="H948" s="24">
        <f>IF(G948/F948*100&gt;100,100,G948/F948*100)</f>
        <v>100</v>
      </c>
      <c r="I948" s="19"/>
      <c r="J948" s="129"/>
      <c r="K948" s="41"/>
      <c r="L948" s="19"/>
      <c r="M948" s="122"/>
      <c r="N948" s="122"/>
      <c r="O948" s="24"/>
      <c r="P948" s="468"/>
      <c r="Q948" s="35"/>
      <c r="R948" s="19"/>
      <c r="S948" s="557"/>
      <c r="T948" s="2"/>
    </row>
    <row r="949" spans="1:20" s="1" customFormat="1" ht="121.5" customHeight="1" x14ac:dyDescent="0.35">
      <c r="A949" s="605"/>
      <c r="B949" s="541"/>
      <c r="C949" s="19" t="s">
        <v>122</v>
      </c>
      <c r="D949" s="41" t="s">
        <v>111</v>
      </c>
      <c r="E949" s="19" t="s">
        <v>18</v>
      </c>
      <c r="F949" s="19">
        <v>100</v>
      </c>
      <c r="G949" s="19">
        <v>100</v>
      </c>
      <c r="H949" s="24">
        <f>IF(G949/F949*100&gt;100,100,G949/F949*100)</f>
        <v>100</v>
      </c>
      <c r="I949" s="19"/>
      <c r="J949" s="129"/>
      <c r="K949" s="41"/>
      <c r="L949" s="19"/>
      <c r="M949" s="122"/>
      <c r="N949" s="122"/>
      <c r="O949" s="24"/>
      <c r="P949" s="468"/>
      <c r="Q949" s="35"/>
      <c r="R949" s="19"/>
      <c r="S949" s="557"/>
      <c r="T949" s="2"/>
    </row>
    <row r="950" spans="1:20" s="1" customFormat="1" ht="40.5" customHeight="1" x14ac:dyDescent="0.35">
      <c r="A950" s="605"/>
      <c r="B950" s="541"/>
      <c r="C950" s="465"/>
      <c r="D950" s="466" t="s">
        <v>644</v>
      </c>
      <c r="E950" s="465"/>
      <c r="F950" s="20"/>
      <c r="G950" s="20"/>
      <c r="H950" s="18"/>
      <c r="I950" s="18">
        <f>(H945+H946+H947+H948+H949)/5</f>
        <v>100</v>
      </c>
      <c r="J950" s="128"/>
      <c r="K950" s="466" t="s">
        <v>644</v>
      </c>
      <c r="L950" s="20"/>
      <c r="M950" s="124"/>
      <c r="N950" s="124"/>
      <c r="O950" s="18"/>
      <c r="P950" s="18">
        <f>O945</f>
        <v>91.780821917808225</v>
      </c>
      <c r="Q950" s="18">
        <f>(I950+P950)/2</f>
        <v>95.890410958904113</v>
      </c>
      <c r="R950" s="465" t="s">
        <v>112</v>
      </c>
      <c r="S950" s="557"/>
      <c r="T950" s="2"/>
    </row>
    <row r="951" spans="1:20" s="1" customFormat="1" x14ac:dyDescent="0.35">
      <c r="A951" s="605"/>
      <c r="B951" s="541"/>
      <c r="C951" s="454" t="s">
        <v>123</v>
      </c>
      <c r="D951" s="59" t="s">
        <v>27</v>
      </c>
      <c r="E951" s="19"/>
      <c r="F951" s="19"/>
      <c r="G951" s="19"/>
      <c r="H951" s="35"/>
      <c r="I951" s="35"/>
      <c r="J951" s="454" t="s">
        <v>123</v>
      </c>
      <c r="K951" s="59" t="s">
        <v>27</v>
      </c>
      <c r="L951" s="19"/>
      <c r="M951" s="122"/>
      <c r="N951" s="122"/>
      <c r="O951" s="35"/>
      <c r="P951" s="468"/>
      <c r="Q951" s="35"/>
      <c r="R951" s="19"/>
      <c r="S951" s="557"/>
      <c r="T951" s="2"/>
    </row>
    <row r="952" spans="1:20" s="1" customFormat="1" ht="51.75" customHeight="1" x14ac:dyDescent="0.35">
      <c r="A952" s="605"/>
      <c r="B952" s="541"/>
      <c r="C952" s="19" t="s">
        <v>124</v>
      </c>
      <c r="D952" s="41" t="s">
        <v>125</v>
      </c>
      <c r="E952" s="19" t="s">
        <v>18</v>
      </c>
      <c r="F952" s="19">
        <v>100</v>
      </c>
      <c r="G952" s="19">
        <v>100</v>
      </c>
      <c r="H952" s="24">
        <f>IF(G952/F952*100&gt;100,100,G952/F952*100)</f>
        <v>100</v>
      </c>
      <c r="I952" s="19"/>
      <c r="J952" s="129" t="s">
        <v>124</v>
      </c>
      <c r="K952" s="41" t="s">
        <v>106</v>
      </c>
      <c r="L952" s="19" t="s">
        <v>20</v>
      </c>
      <c r="M952" s="19">
        <v>175</v>
      </c>
      <c r="N952" s="19">
        <v>175</v>
      </c>
      <c r="O952" s="24">
        <f>IF(N952/M952*100&gt;110,110,N952/M952*100)</f>
        <v>100</v>
      </c>
      <c r="P952" s="468"/>
      <c r="Q952" s="35"/>
      <c r="R952" s="19"/>
      <c r="S952" s="557"/>
      <c r="T952" s="2"/>
    </row>
    <row r="953" spans="1:20" s="1" customFormat="1" ht="81.75" customHeight="1" x14ac:dyDescent="0.35">
      <c r="A953" s="605"/>
      <c r="B953" s="541"/>
      <c r="C953" s="19" t="s">
        <v>127</v>
      </c>
      <c r="D953" s="41" t="s">
        <v>128</v>
      </c>
      <c r="E953" s="19" t="s">
        <v>18</v>
      </c>
      <c r="F953" s="19">
        <v>90</v>
      </c>
      <c r="G953" s="19">
        <v>90</v>
      </c>
      <c r="H953" s="24">
        <f>IF(G953/F953*100&gt;100,100,G953/F953*100)</f>
        <v>100</v>
      </c>
      <c r="I953" s="19"/>
      <c r="J953" s="129"/>
      <c r="K953" s="41"/>
      <c r="L953" s="19"/>
      <c r="M953" s="122"/>
      <c r="N953" s="122"/>
      <c r="O953" s="24"/>
      <c r="P953" s="468"/>
      <c r="Q953" s="35"/>
      <c r="R953" s="19"/>
      <c r="S953" s="557"/>
      <c r="T953" s="2"/>
    </row>
    <row r="954" spans="1:20" s="1" customFormat="1" ht="45" customHeight="1" x14ac:dyDescent="0.35">
      <c r="A954" s="605"/>
      <c r="B954" s="541"/>
      <c r="C954" s="465"/>
      <c r="D954" s="466" t="s">
        <v>644</v>
      </c>
      <c r="E954" s="465"/>
      <c r="F954" s="20"/>
      <c r="G954" s="20"/>
      <c r="H954" s="18"/>
      <c r="I954" s="18">
        <f>(H953+H952)/2</f>
        <v>100</v>
      </c>
      <c r="J954" s="128"/>
      <c r="K954" s="466" t="s">
        <v>644</v>
      </c>
      <c r="L954" s="20"/>
      <c r="M954" s="124"/>
      <c r="N954" s="124"/>
      <c r="O954" s="18"/>
      <c r="P954" s="18">
        <f>O952</f>
        <v>100</v>
      </c>
      <c r="Q954" s="18">
        <f>(I954+P954)/2</f>
        <v>100</v>
      </c>
      <c r="R954" s="465" t="s">
        <v>25</v>
      </c>
      <c r="S954" s="557"/>
      <c r="T954" s="2"/>
    </row>
    <row r="955" spans="1:20" s="1" customFormat="1" ht="227.25" customHeight="1" x14ac:dyDescent="0.35">
      <c r="A955" s="605"/>
      <c r="B955" s="541"/>
      <c r="C955" s="454" t="s">
        <v>129</v>
      </c>
      <c r="D955" s="59" t="s">
        <v>274</v>
      </c>
      <c r="E955" s="454"/>
      <c r="F955" s="454"/>
      <c r="G955" s="454"/>
      <c r="H955" s="35"/>
      <c r="I955" s="35"/>
      <c r="J955" s="454" t="s">
        <v>129</v>
      </c>
      <c r="K955" s="59" t="s">
        <v>274</v>
      </c>
      <c r="L955" s="19"/>
      <c r="M955" s="19"/>
      <c r="N955" s="19"/>
      <c r="O955" s="35"/>
      <c r="P955" s="468"/>
      <c r="Q955" s="35"/>
      <c r="R955" s="19"/>
      <c r="S955" s="557"/>
      <c r="T955" s="2"/>
    </row>
    <row r="956" spans="1:20" s="1" customFormat="1" ht="69" customHeight="1" x14ac:dyDescent="0.35">
      <c r="A956" s="605"/>
      <c r="B956" s="541"/>
      <c r="C956" s="19" t="s">
        <v>131</v>
      </c>
      <c r="D956" s="41" t="s">
        <v>17</v>
      </c>
      <c r="E956" s="19" t="s">
        <v>18</v>
      </c>
      <c r="F956" s="19">
        <v>90</v>
      </c>
      <c r="G956" s="19">
        <v>90</v>
      </c>
      <c r="H956" s="24">
        <f>IF(G956/F956*100&gt;100,100,G956/F956*100)</f>
        <v>100</v>
      </c>
      <c r="I956" s="19"/>
      <c r="J956" s="19" t="s">
        <v>131</v>
      </c>
      <c r="K956" s="41" t="s">
        <v>273</v>
      </c>
      <c r="L956" s="19" t="s">
        <v>41</v>
      </c>
      <c r="M956" s="19">
        <v>195</v>
      </c>
      <c r="N956" s="19">
        <v>195</v>
      </c>
      <c r="O956" s="24">
        <f>IF(N956/M956*100&gt;110,110,N956/M956*100)</f>
        <v>100</v>
      </c>
      <c r="P956" s="468"/>
      <c r="Q956" s="35"/>
      <c r="R956" s="19"/>
      <c r="S956" s="557"/>
      <c r="T956" s="2"/>
    </row>
    <row r="957" spans="1:20" s="1" customFormat="1" ht="45" customHeight="1" x14ac:dyDescent="0.35">
      <c r="A957" s="605"/>
      <c r="B957" s="541"/>
      <c r="C957" s="465"/>
      <c r="D957" s="466" t="s">
        <v>644</v>
      </c>
      <c r="E957" s="465"/>
      <c r="F957" s="20"/>
      <c r="G957" s="20"/>
      <c r="H957" s="18"/>
      <c r="I957" s="18">
        <f>H956</f>
        <v>100</v>
      </c>
      <c r="J957" s="128"/>
      <c r="K957" s="466" t="s">
        <v>644</v>
      </c>
      <c r="L957" s="20"/>
      <c r="M957" s="124"/>
      <c r="N957" s="124"/>
      <c r="O957" s="18"/>
      <c r="P957" s="18">
        <f>O956</f>
        <v>100</v>
      </c>
      <c r="Q957" s="18">
        <f>(I957+P957)/2</f>
        <v>100</v>
      </c>
      <c r="R957" s="465" t="s">
        <v>25</v>
      </c>
      <c r="S957" s="557"/>
      <c r="T957" s="2"/>
    </row>
    <row r="958" spans="1:20" s="1" customFormat="1" ht="51" customHeight="1" x14ac:dyDescent="0.35">
      <c r="A958" s="605"/>
      <c r="B958" s="541"/>
      <c r="C958" s="454" t="s">
        <v>140</v>
      </c>
      <c r="D958" s="59" t="s">
        <v>130</v>
      </c>
      <c r="E958" s="19"/>
      <c r="F958" s="19"/>
      <c r="G958" s="19"/>
      <c r="H958" s="35"/>
      <c r="I958" s="35"/>
      <c r="J958" s="454" t="s">
        <v>140</v>
      </c>
      <c r="K958" s="59" t="str">
        <f>D958</f>
        <v>Реализация дополнительных общеразвивающих программ</v>
      </c>
      <c r="L958" s="19"/>
      <c r="M958" s="122"/>
      <c r="N958" s="122"/>
      <c r="O958" s="35"/>
      <c r="P958" s="468"/>
      <c r="Q958" s="35"/>
      <c r="R958" s="19"/>
      <c r="S958" s="557"/>
      <c r="T958" s="2"/>
    </row>
    <row r="959" spans="1:20" s="1" customFormat="1" ht="83.25" customHeight="1" x14ac:dyDescent="0.35">
      <c r="A959" s="605"/>
      <c r="B959" s="541"/>
      <c r="C959" s="19" t="s">
        <v>142</v>
      </c>
      <c r="D959" s="41" t="s">
        <v>128</v>
      </c>
      <c r="E959" s="19" t="s">
        <v>18</v>
      </c>
      <c r="F959" s="19">
        <v>90</v>
      </c>
      <c r="G959" s="19">
        <v>90</v>
      </c>
      <c r="H959" s="24">
        <f>IF(G959/F959*100&gt;100,100,G959/F959*100)</f>
        <v>100</v>
      </c>
      <c r="I959" s="19"/>
      <c r="J959" s="129" t="s">
        <v>142</v>
      </c>
      <c r="K959" s="41" t="s">
        <v>136</v>
      </c>
      <c r="L959" s="19" t="s">
        <v>139</v>
      </c>
      <c r="M959" s="19">
        <v>69768</v>
      </c>
      <c r="N959" s="19">
        <v>69885</v>
      </c>
      <c r="O959" s="24">
        <f>IF(N959/M959*100&gt;110,110,N959/M959*100)</f>
        <v>100.16769865841073</v>
      </c>
      <c r="P959" s="468"/>
      <c r="Q959" s="35"/>
      <c r="R959" s="19"/>
      <c r="S959" s="557"/>
      <c r="T959" s="2"/>
    </row>
    <row r="960" spans="1:20" s="1" customFormat="1" ht="45" customHeight="1" x14ac:dyDescent="0.35">
      <c r="A960" s="605"/>
      <c r="B960" s="541"/>
      <c r="C960" s="465"/>
      <c r="D960" s="466" t="s">
        <v>644</v>
      </c>
      <c r="E960" s="465"/>
      <c r="F960" s="20"/>
      <c r="G960" s="20"/>
      <c r="H960" s="18"/>
      <c r="I960" s="18">
        <f>H959</f>
        <v>100</v>
      </c>
      <c r="J960" s="128"/>
      <c r="K960" s="466" t="s">
        <v>644</v>
      </c>
      <c r="L960" s="20"/>
      <c r="M960" s="124"/>
      <c r="N960" s="124"/>
      <c r="O960" s="18"/>
      <c r="P960" s="18">
        <f>O959</f>
        <v>100.16769865841073</v>
      </c>
      <c r="Q960" s="18">
        <f>(I960+P960)/2</f>
        <v>100.08384932920536</v>
      </c>
      <c r="R960" s="465" t="s">
        <v>25</v>
      </c>
      <c r="S960" s="557"/>
      <c r="T960" s="2"/>
    </row>
    <row r="961" spans="1:20" s="1" customFormat="1" ht="73.5" customHeight="1" x14ac:dyDescent="0.35">
      <c r="A961" s="605">
        <v>51</v>
      </c>
      <c r="B961" s="541" t="s">
        <v>169</v>
      </c>
      <c r="C961" s="454" t="s">
        <v>13</v>
      </c>
      <c r="D961" s="59" t="s">
        <v>103</v>
      </c>
      <c r="E961" s="454"/>
      <c r="F961" s="454"/>
      <c r="G961" s="454"/>
      <c r="H961" s="35"/>
      <c r="I961" s="35"/>
      <c r="J961" s="454" t="s">
        <v>13</v>
      </c>
      <c r="K961" s="59" t="s">
        <v>103</v>
      </c>
      <c r="L961" s="19"/>
      <c r="M961" s="19"/>
      <c r="N961" s="19"/>
      <c r="O961" s="35"/>
      <c r="P961" s="468"/>
      <c r="Q961" s="35"/>
      <c r="R961" s="19"/>
      <c r="S961" s="557" t="s">
        <v>104</v>
      </c>
      <c r="T961" s="2"/>
    </row>
    <row r="962" spans="1:20" s="1" customFormat="1" ht="77.25" customHeight="1" x14ac:dyDescent="0.35">
      <c r="A962" s="605"/>
      <c r="B962" s="541"/>
      <c r="C962" s="19" t="s">
        <v>16</v>
      </c>
      <c r="D962" s="41" t="s">
        <v>105</v>
      </c>
      <c r="E962" s="19" t="s">
        <v>18</v>
      </c>
      <c r="F962" s="19">
        <v>100</v>
      </c>
      <c r="G962" s="19">
        <v>100</v>
      </c>
      <c r="H962" s="24">
        <f>IF(G962/F962*100&gt;100,100,G962/F962*100)</f>
        <v>100</v>
      </c>
      <c r="I962" s="19"/>
      <c r="J962" s="19" t="s">
        <v>16</v>
      </c>
      <c r="K962" s="41" t="s">
        <v>106</v>
      </c>
      <c r="L962" s="19" t="s">
        <v>20</v>
      </c>
      <c r="M962" s="19">
        <v>265</v>
      </c>
      <c r="N962" s="19">
        <v>262</v>
      </c>
      <c r="O962" s="24">
        <f>IF(N962/M962*100&gt;110,110,N962/M962*100)</f>
        <v>98.867924528301884</v>
      </c>
      <c r="P962" s="468"/>
      <c r="Q962" s="35"/>
      <c r="R962" s="19"/>
      <c r="S962" s="557"/>
      <c r="T962" s="2"/>
    </row>
    <row r="963" spans="1:20" s="1" customFormat="1" x14ac:dyDescent="0.35">
      <c r="A963" s="605"/>
      <c r="B963" s="541"/>
      <c r="C963" s="19" t="s">
        <v>21</v>
      </c>
      <c r="D963" s="41" t="s">
        <v>135</v>
      </c>
      <c r="E963" s="19" t="s">
        <v>18</v>
      </c>
      <c r="F963" s="19">
        <v>100</v>
      </c>
      <c r="G963" s="19">
        <v>100</v>
      </c>
      <c r="H963" s="24">
        <f>IF(G963/F963*100&gt;100,100,G963/F963*100)</f>
        <v>100</v>
      </c>
      <c r="I963" s="19"/>
      <c r="J963" s="19"/>
      <c r="K963" s="455"/>
      <c r="L963" s="19"/>
      <c r="M963" s="476"/>
      <c r="N963" s="476"/>
      <c r="O963" s="24"/>
      <c r="P963" s="468"/>
      <c r="Q963" s="35"/>
      <c r="R963" s="19"/>
      <c r="S963" s="557"/>
      <c r="T963" s="2"/>
    </row>
    <row r="964" spans="1:20" s="1" customFormat="1" ht="45" customHeight="1" x14ac:dyDescent="0.35">
      <c r="A964" s="605"/>
      <c r="B964" s="541"/>
      <c r="C964" s="19" t="s">
        <v>23</v>
      </c>
      <c r="D964" s="41" t="s">
        <v>108</v>
      </c>
      <c r="E964" s="19" t="s">
        <v>18</v>
      </c>
      <c r="F964" s="19">
        <v>100</v>
      </c>
      <c r="G964" s="19">
        <v>100</v>
      </c>
      <c r="H964" s="24">
        <f>IF(G964/F964*100&gt;100,100,G964/F964*100)</f>
        <v>100</v>
      </c>
      <c r="I964" s="19"/>
      <c r="J964" s="129"/>
      <c r="K964" s="41"/>
      <c r="L964" s="19"/>
      <c r="M964" s="122"/>
      <c r="N964" s="122"/>
      <c r="O964" s="24"/>
      <c r="P964" s="468"/>
      <c r="Q964" s="35"/>
      <c r="R964" s="19"/>
      <c r="S964" s="557"/>
      <c r="T964" s="2"/>
    </row>
    <row r="965" spans="1:20" s="1" customFormat="1" ht="78.75" customHeight="1" x14ac:dyDescent="0.35">
      <c r="A965" s="605"/>
      <c r="B965" s="541"/>
      <c r="C965" s="19" t="s">
        <v>109</v>
      </c>
      <c r="D965" s="41" t="s">
        <v>17</v>
      </c>
      <c r="E965" s="19" t="s">
        <v>18</v>
      </c>
      <c r="F965" s="19">
        <v>90</v>
      </c>
      <c r="G965" s="19">
        <v>90</v>
      </c>
      <c r="H965" s="24">
        <f>IF(G965/F965*100&gt;100,100,G965/F965*100)</f>
        <v>100</v>
      </c>
      <c r="I965" s="19"/>
      <c r="J965" s="129"/>
      <c r="K965" s="41"/>
      <c r="L965" s="19"/>
      <c r="M965" s="122"/>
      <c r="N965" s="122"/>
      <c r="O965" s="24"/>
      <c r="P965" s="468"/>
      <c r="Q965" s="35"/>
      <c r="R965" s="19"/>
      <c r="S965" s="557"/>
      <c r="T965" s="2"/>
    </row>
    <row r="966" spans="1:20" s="1" customFormat="1" ht="125.25" customHeight="1" x14ac:dyDescent="0.35">
      <c r="A966" s="605"/>
      <c r="B966" s="541"/>
      <c r="C966" s="19" t="s">
        <v>110</v>
      </c>
      <c r="D966" s="41" t="s">
        <v>111</v>
      </c>
      <c r="E966" s="19" t="s">
        <v>18</v>
      </c>
      <c r="F966" s="19">
        <v>100</v>
      </c>
      <c r="G966" s="19">
        <v>100</v>
      </c>
      <c r="H966" s="24">
        <f>IF(G966/F966*100&gt;100,100,G966/F966*100)</f>
        <v>100</v>
      </c>
      <c r="I966" s="19"/>
      <c r="J966" s="129"/>
      <c r="K966" s="41"/>
      <c r="L966" s="19"/>
      <c r="M966" s="122"/>
      <c r="N966" s="122"/>
      <c r="O966" s="24"/>
      <c r="P966" s="468"/>
      <c r="Q966" s="35"/>
      <c r="R966" s="19"/>
      <c r="S966" s="557"/>
      <c r="T966" s="2"/>
    </row>
    <row r="967" spans="1:20" s="1" customFormat="1" ht="40.5" customHeight="1" x14ac:dyDescent="0.35">
      <c r="A967" s="605"/>
      <c r="B967" s="541"/>
      <c r="C967" s="465"/>
      <c r="D967" s="466" t="s">
        <v>644</v>
      </c>
      <c r="E967" s="465"/>
      <c r="F967" s="20"/>
      <c r="G967" s="20"/>
      <c r="H967" s="18"/>
      <c r="I967" s="18">
        <f>(H962+H963+H964+H965+H966)/5</f>
        <v>100</v>
      </c>
      <c r="J967" s="128"/>
      <c r="K967" s="466" t="s">
        <v>644</v>
      </c>
      <c r="L967" s="20"/>
      <c r="M967" s="124"/>
      <c r="N967" s="124"/>
      <c r="O967" s="18"/>
      <c r="P967" s="18">
        <f>O962</f>
        <v>98.867924528301884</v>
      </c>
      <c r="Q967" s="18">
        <f>(I967+P967)/2</f>
        <v>99.433962264150949</v>
      </c>
      <c r="R967" s="465" t="s">
        <v>112</v>
      </c>
      <c r="S967" s="557"/>
      <c r="T967" s="2"/>
    </row>
    <row r="968" spans="1:20" s="1" customFormat="1" ht="82.5" customHeight="1" x14ac:dyDescent="0.35">
      <c r="A968" s="605"/>
      <c r="B968" s="541"/>
      <c r="C968" s="454" t="s">
        <v>26</v>
      </c>
      <c r="D968" s="59" t="s">
        <v>113</v>
      </c>
      <c r="E968" s="19"/>
      <c r="F968" s="19"/>
      <c r="G968" s="19"/>
      <c r="H968" s="35"/>
      <c r="I968" s="35"/>
      <c r="J968" s="454" t="s">
        <v>26</v>
      </c>
      <c r="K968" s="59" t="s">
        <v>113</v>
      </c>
      <c r="L968" s="19"/>
      <c r="M968" s="122"/>
      <c r="N968" s="122"/>
      <c r="O968" s="35"/>
      <c r="P968" s="468"/>
      <c r="Q968" s="35"/>
      <c r="R968" s="19"/>
      <c r="S968" s="557"/>
      <c r="T968" s="2"/>
    </row>
    <row r="969" spans="1:20" s="1" customFormat="1" ht="82.5" customHeight="1" x14ac:dyDescent="0.35">
      <c r="A969" s="605"/>
      <c r="B969" s="541"/>
      <c r="C969" s="19" t="s">
        <v>28</v>
      </c>
      <c r="D969" s="41" t="s">
        <v>114</v>
      </c>
      <c r="E969" s="19" t="s">
        <v>18</v>
      </c>
      <c r="F969" s="19">
        <v>100</v>
      </c>
      <c r="G969" s="19">
        <v>100</v>
      </c>
      <c r="H969" s="24">
        <f>IF(G969/F969*100&gt;100,100,G969/F969*100)</f>
        <v>100</v>
      </c>
      <c r="I969" s="19"/>
      <c r="J969" s="129" t="s">
        <v>28</v>
      </c>
      <c r="K969" s="41" t="s">
        <v>106</v>
      </c>
      <c r="L969" s="19" t="s">
        <v>20</v>
      </c>
      <c r="M969" s="19">
        <v>313</v>
      </c>
      <c r="N969" s="19">
        <v>315</v>
      </c>
      <c r="O969" s="24">
        <f>IF(N969/M969*100&gt;110,110,N969/M969*100)</f>
        <v>100.63897763578275</v>
      </c>
      <c r="P969" s="19"/>
      <c r="Q969" s="35"/>
      <c r="R969" s="19"/>
      <c r="S969" s="557"/>
      <c r="T969" s="2"/>
    </row>
    <row r="970" spans="1:20" s="1" customFormat="1" x14ac:dyDescent="0.35">
      <c r="A970" s="605"/>
      <c r="B970" s="541"/>
      <c r="C970" s="19" t="s">
        <v>30</v>
      </c>
      <c r="D970" s="41" t="s">
        <v>115</v>
      </c>
      <c r="E970" s="19" t="s">
        <v>18</v>
      </c>
      <c r="F970" s="19">
        <v>100</v>
      </c>
      <c r="G970" s="19">
        <v>100</v>
      </c>
      <c r="H970" s="24">
        <f>IF(G970/F970*100&gt;100,100,G970/F970*100)</f>
        <v>100</v>
      </c>
      <c r="I970" s="19"/>
      <c r="J970" s="129"/>
      <c r="K970" s="41"/>
      <c r="L970" s="19"/>
      <c r="M970" s="122"/>
      <c r="N970" s="122"/>
      <c r="O970" s="24"/>
      <c r="P970" s="468"/>
      <c r="Q970" s="35"/>
      <c r="R970" s="19"/>
      <c r="S970" s="557"/>
      <c r="T970" s="2"/>
    </row>
    <row r="971" spans="1:20" s="1" customFormat="1" ht="58.5" customHeight="1" x14ac:dyDescent="0.35">
      <c r="A971" s="605"/>
      <c r="B971" s="541"/>
      <c r="C971" s="19" t="s">
        <v>34</v>
      </c>
      <c r="D971" s="41" t="s">
        <v>108</v>
      </c>
      <c r="E971" s="19" t="s">
        <v>18</v>
      </c>
      <c r="F971" s="19">
        <v>100</v>
      </c>
      <c r="G971" s="19">
        <v>100</v>
      </c>
      <c r="H971" s="24">
        <f>IF(G971/F971*100&gt;100,100,G971/F971*100)</f>
        <v>100</v>
      </c>
      <c r="I971" s="19"/>
      <c r="J971" s="129"/>
      <c r="K971" s="41"/>
      <c r="L971" s="19"/>
      <c r="M971" s="122"/>
      <c r="N971" s="122"/>
      <c r="O971" s="24"/>
      <c r="P971" s="468"/>
      <c r="Q971" s="35"/>
      <c r="R971" s="19"/>
      <c r="S971" s="557"/>
      <c r="T971" s="2"/>
    </row>
    <row r="972" spans="1:20" s="1" customFormat="1" ht="73.5" customHeight="1" x14ac:dyDescent="0.35">
      <c r="A972" s="605"/>
      <c r="B972" s="541"/>
      <c r="C972" s="19" t="s">
        <v>78</v>
      </c>
      <c r="D972" s="41" t="s">
        <v>17</v>
      </c>
      <c r="E972" s="19" t="s">
        <v>18</v>
      </c>
      <c r="F972" s="19">
        <v>90</v>
      </c>
      <c r="G972" s="19">
        <v>90</v>
      </c>
      <c r="H972" s="24">
        <f>IF(G972/F972*100&gt;100,100,G972/F972*100)</f>
        <v>100</v>
      </c>
      <c r="I972" s="19"/>
      <c r="J972" s="129"/>
      <c r="K972" s="41"/>
      <c r="L972" s="19"/>
      <c r="M972" s="122"/>
      <c r="N972" s="122"/>
      <c r="O972" s="24"/>
      <c r="P972" s="468"/>
      <c r="Q972" s="35"/>
      <c r="R972" s="19"/>
      <c r="S972" s="557"/>
      <c r="T972" s="2"/>
    </row>
    <row r="973" spans="1:20" s="1" customFormat="1" ht="111.75" customHeight="1" x14ac:dyDescent="0.35">
      <c r="A973" s="605"/>
      <c r="B973" s="541"/>
      <c r="C973" s="19" t="s">
        <v>79</v>
      </c>
      <c r="D973" s="41" t="s">
        <v>111</v>
      </c>
      <c r="E973" s="19" t="s">
        <v>18</v>
      </c>
      <c r="F973" s="19">
        <v>100</v>
      </c>
      <c r="G973" s="19">
        <v>100</v>
      </c>
      <c r="H973" s="24">
        <f>IF(G973/F973*100&gt;100,100,G973/F973*100)</f>
        <v>100</v>
      </c>
      <c r="I973" s="19"/>
      <c r="J973" s="129"/>
      <c r="K973" s="41"/>
      <c r="L973" s="19"/>
      <c r="M973" s="122"/>
      <c r="N973" s="122"/>
      <c r="O973" s="24"/>
      <c r="P973" s="468"/>
      <c r="Q973" s="35"/>
      <c r="R973" s="19"/>
      <c r="S973" s="557"/>
      <c r="T973" s="2"/>
    </row>
    <row r="974" spans="1:20" s="1" customFormat="1" ht="40.5" customHeight="1" x14ac:dyDescent="0.35">
      <c r="A974" s="605"/>
      <c r="B974" s="541"/>
      <c r="C974" s="465"/>
      <c r="D974" s="466" t="s">
        <v>644</v>
      </c>
      <c r="E974" s="465"/>
      <c r="F974" s="20"/>
      <c r="G974" s="20"/>
      <c r="H974" s="18"/>
      <c r="I974" s="18">
        <f>(H969+H970+H971+H972+H973)/5</f>
        <v>100</v>
      </c>
      <c r="J974" s="128"/>
      <c r="K974" s="466" t="s">
        <v>644</v>
      </c>
      <c r="L974" s="20"/>
      <c r="M974" s="124"/>
      <c r="N974" s="124"/>
      <c r="O974" s="18"/>
      <c r="P974" s="18">
        <f>O969</f>
        <v>100.63897763578275</v>
      </c>
      <c r="Q974" s="18">
        <f>(I974+P974)/2</f>
        <v>100.31948881789137</v>
      </c>
      <c r="R974" s="465" t="s">
        <v>25</v>
      </c>
      <c r="S974" s="557"/>
      <c r="T974" s="2"/>
    </row>
    <row r="975" spans="1:20" s="1" customFormat="1" ht="90" customHeight="1" x14ac:dyDescent="0.35">
      <c r="A975" s="605"/>
      <c r="B975" s="541"/>
      <c r="C975" s="454" t="s">
        <v>36</v>
      </c>
      <c r="D975" s="59" t="s">
        <v>116</v>
      </c>
      <c r="E975" s="19"/>
      <c r="F975" s="19"/>
      <c r="G975" s="19"/>
      <c r="H975" s="35"/>
      <c r="I975" s="35"/>
      <c r="J975" s="454" t="s">
        <v>36</v>
      </c>
      <c r="K975" s="59" t="str">
        <f>D975</f>
        <v>Реализация основных общеобразовательных программ среднего общего образования</v>
      </c>
      <c r="L975" s="19"/>
      <c r="M975" s="122"/>
      <c r="N975" s="122"/>
      <c r="O975" s="35"/>
      <c r="P975" s="468"/>
      <c r="Q975" s="35"/>
      <c r="R975" s="19"/>
      <c r="S975" s="557"/>
      <c r="T975" s="2"/>
    </row>
    <row r="976" spans="1:20" s="1" customFormat="1" ht="76.5" customHeight="1" x14ac:dyDescent="0.35">
      <c r="A976" s="605"/>
      <c r="B976" s="541"/>
      <c r="C976" s="19" t="s">
        <v>38</v>
      </c>
      <c r="D976" s="41" t="s">
        <v>117</v>
      </c>
      <c r="E976" s="19" t="s">
        <v>18</v>
      </c>
      <c r="F976" s="19">
        <v>100</v>
      </c>
      <c r="G976" s="19">
        <v>100</v>
      </c>
      <c r="H976" s="24">
        <f>IF(G976/F976*100&gt;100,100,G976/F976*100)</f>
        <v>100</v>
      </c>
      <c r="I976" s="19"/>
      <c r="J976" s="129" t="s">
        <v>38</v>
      </c>
      <c r="K976" s="41" t="s">
        <v>106</v>
      </c>
      <c r="L976" s="19" t="s">
        <v>20</v>
      </c>
      <c r="M976" s="19">
        <v>58</v>
      </c>
      <c r="N976" s="19">
        <v>60</v>
      </c>
      <c r="O976" s="24">
        <f>IF(N976/M976*100&gt;110,110,N976/M976*100)</f>
        <v>103.44827586206897</v>
      </c>
      <c r="P976" s="19"/>
      <c r="Q976" s="35"/>
      <c r="R976" s="19"/>
      <c r="S976" s="557"/>
      <c r="T976" s="2"/>
    </row>
    <row r="977" spans="1:20" s="1" customFormat="1" x14ac:dyDescent="0.35">
      <c r="A977" s="605"/>
      <c r="B977" s="541"/>
      <c r="C977" s="19" t="s">
        <v>118</v>
      </c>
      <c r="D977" s="41" t="s">
        <v>119</v>
      </c>
      <c r="E977" s="19" t="s">
        <v>18</v>
      </c>
      <c r="F977" s="19">
        <v>100</v>
      </c>
      <c r="G977" s="19">
        <v>100</v>
      </c>
      <c r="H977" s="24">
        <f>IF(G977/F977*100&gt;100,100,G977/F977*100)</f>
        <v>100</v>
      </c>
      <c r="I977" s="19"/>
      <c r="J977" s="129"/>
      <c r="K977" s="41"/>
      <c r="L977" s="19"/>
      <c r="M977" s="122"/>
      <c r="N977" s="122"/>
      <c r="O977" s="24"/>
      <c r="P977" s="468"/>
      <c r="Q977" s="35"/>
      <c r="R977" s="19"/>
      <c r="S977" s="557"/>
      <c r="T977" s="2"/>
    </row>
    <row r="978" spans="1:20" s="1" customFormat="1" ht="45.75" customHeight="1" x14ac:dyDescent="0.35">
      <c r="A978" s="605"/>
      <c r="B978" s="541"/>
      <c r="C978" s="19" t="s">
        <v>120</v>
      </c>
      <c r="D978" s="41" t="s">
        <v>108</v>
      </c>
      <c r="E978" s="19" t="s">
        <v>18</v>
      </c>
      <c r="F978" s="19">
        <v>100</v>
      </c>
      <c r="G978" s="19">
        <v>100</v>
      </c>
      <c r="H978" s="24">
        <f>IF(G978/F978*100&gt;100,100,G978/F978*100)</f>
        <v>100</v>
      </c>
      <c r="I978" s="19"/>
      <c r="J978" s="129"/>
      <c r="K978" s="41"/>
      <c r="L978" s="19"/>
      <c r="M978" s="122"/>
      <c r="N978" s="122"/>
      <c r="O978" s="24"/>
      <c r="P978" s="468"/>
      <c r="Q978" s="35"/>
      <c r="R978" s="19"/>
      <c r="S978" s="557"/>
      <c r="T978" s="2"/>
    </row>
    <row r="979" spans="1:20" s="1" customFormat="1" ht="75" customHeight="1" x14ac:dyDescent="0.35">
      <c r="A979" s="605"/>
      <c r="B979" s="541"/>
      <c r="C979" s="19" t="s">
        <v>121</v>
      </c>
      <c r="D979" s="41" t="s">
        <v>17</v>
      </c>
      <c r="E979" s="19" t="s">
        <v>18</v>
      </c>
      <c r="F979" s="19">
        <v>90</v>
      </c>
      <c r="G979" s="19">
        <v>90</v>
      </c>
      <c r="H979" s="24">
        <f>IF(G979/F979*100&gt;100,100,G979/F979*100)</f>
        <v>100</v>
      </c>
      <c r="I979" s="19"/>
      <c r="J979" s="129"/>
      <c r="K979" s="41"/>
      <c r="L979" s="19"/>
      <c r="M979" s="122"/>
      <c r="N979" s="122"/>
      <c r="O979" s="24"/>
      <c r="P979" s="468"/>
      <c r="Q979" s="35"/>
      <c r="R979" s="19"/>
      <c r="S979" s="557"/>
      <c r="T979" s="2"/>
    </row>
    <row r="980" spans="1:20" s="1" customFormat="1" ht="123" customHeight="1" x14ac:dyDescent="0.35">
      <c r="A980" s="605"/>
      <c r="B980" s="541"/>
      <c r="C980" s="19" t="s">
        <v>122</v>
      </c>
      <c r="D980" s="41" t="s">
        <v>111</v>
      </c>
      <c r="E980" s="19" t="s">
        <v>18</v>
      </c>
      <c r="F980" s="19">
        <v>100</v>
      </c>
      <c r="G980" s="19">
        <v>100</v>
      </c>
      <c r="H980" s="24">
        <f>IF(G980/F980*100&gt;100,100,G980/F980*100)</f>
        <v>100</v>
      </c>
      <c r="I980" s="19"/>
      <c r="J980" s="129"/>
      <c r="K980" s="41"/>
      <c r="L980" s="19"/>
      <c r="M980" s="122"/>
      <c r="N980" s="122"/>
      <c r="O980" s="24"/>
      <c r="P980" s="468"/>
      <c r="Q980" s="35"/>
      <c r="R980" s="19"/>
      <c r="S980" s="557"/>
      <c r="T980" s="2"/>
    </row>
    <row r="981" spans="1:20" s="1" customFormat="1" ht="40.5" customHeight="1" x14ac:dyDescent="0.35">
      <c r="A981" s="605"/>
      <c r="B981" s="541"/>
      <c r="C981" s="465"/>
      <c r="D981" s="466" t="s">
        <v>644</v>
      </c>
      <c r="E981" s="465"/>
      <c r="F981" s="20"/>
      <c r="G981" s="20"/>
      <c r="H981" s="18"/>
      <c r="I981" s="18">
        <f>(H976+H977+H978+H979+H980)/5</f>
        <v>100</v>
      </c>
      <c r="J981" s="128"/>
      <c r="K981" s="466" t="s">
        <v>644</v>
      </c>
      <c r="L981" s="20"/>
      <c r="M981" s="124"/>
      <c r="N981" s="124"/>
      <c r="O981" s="18"/>
      <c r="P981" s="18">
        <f>O976</f>
        <v>103.44827586206897</v>
      </c>
      <c r="Q981" s="18">
        <f>(I981+P981)/2</f>
        <v>101.72413793103448</v>
      </c>
      <c r="R981" s="465" t="s">
        <v>25</v>
      </c>
      <c r="S981" s="557"/>
      <c r="T981" s="2"/>
    </row>
    <row r="982" spans="1:20" s="1" customFormat="1" x14ac:dyDescent="0.35">
      <c r="A982" s="605"/>
      <c r="B982" s="541"/>
      <c r="C982" s="454" t="s">
        <v>123</v>
      </c>
      <c r="D982" s="59" t="s">
        <v>27</v>
      </c>
      <c r="E982" s="19"/>
      <c r="F982" s="19"/>
      <c r="G982" s="19"/>
      <c r="H982" s="35"/>
      <c r="I982" s="35"/>
      <c r="J982" s="454" t="s">
        <v>123</v>
      </c>
      <c r="K982" s="59" t="s">
        <v>27</v>
      </c>
      <c r="L982" s="19"/>
      <c r="M982" s="122"/>
      <c r="N982" s="122"/>
      <c r="O982" s="35"/>
      <c r="P982" s="468"/>
      <c r="Q982" s="35"/>
      <c r="R982" s="454"/>
      <c r="S982" s="557"/>
      <c r="T982" s="2"/>
    </row>
    <row r="983" spans="1:20" s="1" customFormat="1" ht="45" customHeight="1" x14ac:dyDescent="0.35">
      <c r="A983" s="605"/>
      <c r="B983" s="541"/>
      <c r="C983" s="19" t="s">
        <v>124</v>
      </c>
      <c r="D983" s="41" t="s">
        <v>125</v>
      </c>
      <c r="E983" s="19" t="s">
        <v>18</v>
      </c>
      <c r="F983" s="19">
        <v>100</v>
      </c>
      <c r="G983" s="19">
        <v>100</v>
      </c>
      <c r="H983" s="24">
        <f>IF(G983/F983*100&gt;100,100,G983/F983*100)</f>
        <v>100</v>
      </c>
      <c r="I983" s="19"/>
      <c r="J983" s="129" t="s">
        <v>124</v>
      </c>
      <c r="K983" s="41" t="s">
        <v>106</v>
      </c>
      <c r="L983" s="19" t="s">
        <v>20</v>
      </c>
      <c r="M983" s="19">
        <v>127</v>
      </c>
      <c r="N983" s="19">
        <v>128</v>
      </c>
      <c r="O983" s="24">
        <f>IF(N983/M983*100&gt;110,110,N983/M983*100)</f>
        <v>100.78740157480314</v>
      </c>
      <c r="P983" s="468"/>
      <c r="Q983" s="35"/>
      <c r="R983" s="19"/>
      <c r="S983" s="557"/>
      <c r="T983" s="2"/>
    </row>
    <row r="984" spans="1:20" s="1" customFormat="1" ht="84" customHeight="1" x14ac:dyDescent="0.35">
      <c r="A984" s="605"/>
      <c r="B984" s="541"/>
      <c r="C984" s="19" t="s">
        <v>127</v>
      </c>
      <c r="D984" s="41" t="s">
        <v>128</v>
      </c>
      <c r="E984" s="19" t="s">
        <v>18</v>
      </c>
      <c r="F984" s="19">
        <v>90</v>
      </c>
      <c r="G984" s="19">
        <v>90</v>
      </c>
      <c r="H984" s="24">
        <f>IF(G984/F984*100&gt;100,100,G984/F984*100)</f>
        <v>100</v>
      </c>
      <c r="I984" s="19"/>
      <c r="J984" s="129"/>
      <c r="K984" s="41"/>
      <c r="L984" s="19"/>
      <c r="M984" s="122"/>
      <c r="N984" s="122"/>
      <c r="O984" s="24"/>
      <c r="P984" s="468"/>
      <c r="Q984" s="35"/>
      <c r="R984" s="19"/>
      <c r="S984" s="557"/>
      <c r="T984" s="2"/>
    </row>
    <row r="985" spans="1:20" s="1" customFormat="1" ht="40.5" customHeight="1" x14ac:dyDescent="0.35">
      <c r="A985" s="605"/>
      <c r="B985" s="541"/>
      <c r="C985" s="465"/>
      <c r="D985" s="466" t="s">
        <v>644</v>
      </c>
      <c r="E985" s="465"/>
      <c r="F985" s="20"/>
      <c r="G985" s="20"/>
      <c r="H985" s="18"/>
      <c r="I985" s="18">
        <f>(H983+H984)/2</f>
        <v>100</v>
      </c>
      <c r="J985" s="128"/>
      <c r="K985" s="466" t="s">
        <v>644</v>
      </c>
      <c r="L985" s="20"/>
      <c r="M985" s="124"/>
      <c r="N985" s="124"/>
      <c r="O985" s="18"/>
      <c r="P985" s="18">
        <f>O983</f>
        <v>100.78740157480314</v>
      </c>
      <c r="Q985" s="18">
        <f>(I985+P985)/2</f>
        <v>100.39370078740157</v>
      </c>
      <c r="R985" s="465" t="s">
        <v>25</v>
      </c>
      <c r="S985" s="557"/>
      <c r="T985" s="2"/>
    </row>
    <row r="986" spans="1:20" s="1" customFormat="1" ht="57.75" customHeight="1" x14ac:dyDescent="0.35">
      <c r="A986" s="605"/>
      <c r="B986" s="541"/>
      <c r="C986" s="454" t="s">
        <v>129</v>
      </c>
      <c r="D986" s="59" t="s">
        <v>130</v>
      </c>
      <c r="E986" s="19"/>
      <c r="F986" s="19"/>
      <c r="G986" s="19"/>
      <c r="H986" s="35"/>
      <c r="I986" s="35"/>
      <c r="J986" s="454" t="s">
        <v>129</v>
      </c>
      <c r="K986" s="59" t="str">
        <f>D986</f>
        <v>Реализация дополнительных общеразвивающих программ</v>
      </c>
      <c r="L986" s="19"/>
      <c r="M986" s="122"/>
      <c r="N986" s="122"/>
      <c r="O986" s="35"/>
      <c r="P986" s="468"/>
      <c r="Q986" s="35"/>
      <c r="R986" s="19"/>
      <c r="S986" s="557"/>
      <c r="T986" s="2"/>
    </row>
    <row r="987" spans="1:20" s="1" customFormat="1" ht="86.25" customHeight="1" x14ac:dyDescent="0.35">
      <c r="A987" s="605"/>
      <c r="B987" s="541"/>
      <c r="C987" s="19" t="s">
        <v>131</v>
      </c>
      <c r="D987" s="41" t="s">
        <v>128</v>
      </c>
      <c r="E987" s="19" t="s">
        <v>18</v>
      </c>
      <c r="F987" s="19">
        <v>90</v>
      </c>
      <c r="G987" s="19">
        <v>90</v>
      </c>
      <c r="H987" s="24">
        <f>IF(G987/F987*100&gt;100,100,G987/F987*100)</f>
        <v>100</v>
      </c>
      <c r="I987" s="19"/>
      <c r="J987" s="129" t="s">
        <v>131</v>
      </c>
      <c r="K987" s="41" t="s">
        <v>136</v>
      </c>
      <c r="L987" s="19" t="s">
        <v>139</v>
      </c>
      <c r="M987" s="19">
        <v>51408</v>
      </c>
      <c r="N987" s="19">
        <v>54370</v>
      </c>
      <c r="O987" s="24">
        <f>IF(N987/M987*100&gt;110,110,N987/M987*100)</f>
        <v>105.76174914410208</v>
      </c>
      <c r="P987" s="468"/>
      <c r="Q987" s="35"/>
      <c r="R987" s="19"/>
      <c r="S987" s="557"/>
      <c r="T987" s="2"/>
    </row>
    <row r="988" spans="1:20" s="1" customFormat="1" ht="45" customHeight="1" x14ac:dyDescent="0.35">
      <c r="A988" s="605"/>
      <c r="B988" s="541"/>
      <c r="C988" s="465"/>
      <c r="D988" s="466" t="s">
        <v>644</v>
      </c>
      <c r="E988" s="465"/>
      <c r="F988" s="20"/>
      <c r="G988" s="20"/>
      <c r="H988" s="18"/>
      <c r="I988" s="18">
        <f>H987</f>
        <v>100</v>
      </c>
      <c r="J988" s="128"/>
      <c r="K988" s="466" t="s">
        <v>644</v>
      </c>
      <c r="L988" s="20"/>
      <c r="M988" s="124"/>
      <c r="N988" s="124"/>
      <c r="O988" s="18"/>
      <c r="P988" s="18">
        <f>O987</f>
        <v>105.76174914410208</v>
      </c>
      <c r="Q988" s="18">
        <f>(I988+P988)/2</f>
        <v>102.88087457205104</v>
      </c>
      <c r="R988" s="465" t="s">
        <v>25</v>
      </c>
      <c r="S988" s="557"/>
      <c r="T988" s="2"/>
    </row>
    <row r="989" spans="1:20" s="1" customFormat="1" ht="71.25" customHeight="1" x14ac:dyDescent="0.35">
      <c r="A989" s="605">
        <v>52</v>
      </c>
      <c r="B989" s="541" t="s">
        <v>170</v>
      </c>
      <c r="C989" s="454" t="s">
        <v>13</v>
      </c>
      <c r="D989" s="59" t="s">
        <v>103</v>
      </c>
      <c r="E989" s="454"/>
      <c r="F989" s="454"/>
      <c r="G989" s="454"/>
      <c r="H989" s="35"/>
      <c r="I989" s="35"/>
      <c r="J989" s="454" t="s">
        <v>13</v>
      </c>
      <c r="K989" s="59" t="s">
        <v>103</v>
      </c>
      <c r="L989" s="19"/>
      <c r="M989" s="19"/>
      <c r="N989" s="19"/>
      <c r="O989" s="35"/>
      <c r="P989" s="468"/>
      <c r="Q989" s="35"/>
      <c r="R989" s="19"/>
      <c r="S989" s="557" t="s">
        <v>48</v>
      </c>
      <c r="T989" s="2"/>
    </row>
    <row r="990" spans="1:20" s="1" customFormat="1" ht="78" customHeight="1" x14ac:dyDescent="0.35">
      <c r="A990" s="605"/>
      <c r="B990" s="541"/>
      <c r="C990" s="19" t="s">
        <v>16</v>
      </c>
      <c r="D990" s="41" t="s">
        <v>105</v>
      </c>
      <c r="E990" s="19" t="s">
        <v>18</v>
      </c>
      <c r="F990" s="19">
        <v>100</v>
      </c>
      <c r="G990" s="19">
        <v>100</v>
      </c>
      <c r="H990" s="24">
        <f>IF(G990/F990*100&gt;100,100,G990/F990*100)</f>
        <v>100</v>
      </c>
      <c r="I990" s="19"/>
      <c r="J990" s="19" t="s">
        <v>16</v>
      </c>
      <c r="K990" s="41" t="s">
        <v>106</v>
      </c>
      <c r="L990" s="19" t="s">
        <v>20</v>
      </c>
      <c r="M990" s="19">
        <v>197</v>
      </c>
      <c r="N990" s="19">
        <v>200</v>
      </c>
      <c r="O990" s="24">
        <f>IF(N990/M990*100&gt;110,110,N990/M990*100)</f>
        <v>101.5228426395939</v>
      </c>
      <c r="P990" s="468"/>
      <c r="Q990" s="35"/>
      <c r="R990" s="19"/>
      <c r="S990" s="557"/>
      <c r="T990" s="2"/>
    </row>
    <row r="991" spans="1:20" s="1" customFormat="1" ht="45" customHeight="1" x14ac:dyDescent="0.35">
      <c r="A991" s="605"/>
      <c r="B991" s="541"/>
      <c r="C991" s="19" t="s">
        <v>21</v>
      </c>
      <c r="D991" s="41" t="s">
        <v>135</v>
      </c>
      <c r="E991" s="19" t="s">
        <v>18</v>
      </c>
      <c r="F991" s="19">
        <v>100</v>
      </c>
      <c r="G991" s="19">
        <v>100</v>
      </c>
      <c r="H991" s="24">
        <f>IF(G991/F991*100&gt;100,100,G991/F991*100)</f>
        <v>100</v>
      </c>
      <c r="I991" s="19"/>
      <c r="J991" s="19"/>
      <c r="K991" s="455"/>
      <c r="L991" s="19"/>
      <c r="M991" s="476"/>
      <c r="N991" s="476"/>
      <c r="O991" s="24"/>
      <c r="P991" s="468"/>
      <c r="Q991" s="35"/>
      <c r="R991" s="19"/>
      <c r="S991" s="557"/>
      <c r="T991" s="2"/>
    </row>
    <row r="992" spans="1:20" s="1" customFormat="1" ht="57.75" customHeight="1" x14ac:dyDescent="0.35">
      <c r="A992" s="605"/>
      <c r="B992" s="541"/>
      <c r="C992" s="19" t="s">
        <v>23</v>
      </c>
      <c r="D992" s="41" t="s">
        <v>108</v>
      </c>
      <c r="E992" s="19" t="s">
        <v>18</v>
      </c>
      <c r="F992" s="19">
        <v>100</v>
      </c>
      <c r="G992" s="19">
        <v>100</v>
      </c>
      <c r="H992" s="24">
        <f>IF(G992/F992*100&gt;100,100,G992/F992*100)</f>
        <v>100</v>
      </c>
      <c r="I992" s="19"/>
      <c r="J992" s="129"/>
      <c r="K992" s="41"/>
      <c r="L992" s="19"/>
      <c r="M992" s="122"/>
      <c r="N992" s="122"/>
      <c r="O992" s="24"/>
      <c r="P992" s="468"/>
      <c r="Q992" s="35"/>
      <c r="R992" s="19"/>
      <c r="S992" s="557"/>
      <c r="T992" s="2"/>
    </row>
    <row r="993" spans="1:20" s="1" customFormat="1" ht="81" customHeight="1" x14ac:dyDescent="0.35">
      <c r="A993" s="605"/>
      <c r="B993" s="541"/>
      <c r="C993" s="19" t="s">
        <v>109</v>
      </c>
      <c r="D993" s="41" t="s">
        <v>17</v>
      </c>
      <c r="E993" s="19" t="s">
        <v>18</v>
      </c>
      <c r="F993" s="19">
        <v>90</v>
      </c>
      <c r="G993" s="19">
        <v>100</v>
      </c>
      <c r="H993" s="24">
        <f>IF(G993/F993*100&gt;100,100,G993/F993*100)</f>
        <v>100</v>
      </c>
      <c r="I993" s="19"/>
      <c r="J993" s="129"/>
      <c r="K993" s="41"/>
      <c r="L993" s="19"/>
      <c r="M993" s="122"/>
      <c r="N993" s="122"/>
      <c r="O993" s="24"/>
      <c r="P993" s="468"/>
      <c r="Q993" s="35"/>
      <c r="R993" s="19"/>
      <c r="S993" s="557"/>
      <c r="T993" s="2"/>
    </row>
    <row r="994" spans="1:20" s="1" customFormat="1" ht="123" customHeight="1" x14ac:dyDescent="0.35">
      <c r="A994" s="605"/>
      <c r="B994" s="541"/>
      <c r="C994" s="19" t="s">
        <v>110</v>
      </c>
      <c r="D994" s="41" t="s">
        <v>111</v>
      </c>
      <c r="E994" s="19" t="s">
        <v>18</v>
      </c>
      <c r="F994" s="19">
        <v>100</v>
      </c>
      <c r="G994" s="19">
        <v>100</v>
      </c>
      <c r="H994" s="24">
        <f>IF(G994/F994*100&gt;100,100,G994/F994*100)</f>
        <v>100</v>
      </c>
      <c r="I994" s="19"/>
      <c r="J994" s="129"/>
      <c r="K994" s="41"/>
      <c r="L994" s="19"/>
      <c r="M994" s="122"/>
      <c r="N994" s="122"/>
      <c r="O994" s="24"/>
      <c r="P994" s="468"/>
      <c r="Q994" s="35"/>
      <c r="R994" s="19"/>
      <c r="S994" s="557"/>
      <c r="T994" s="2"/>
    </row>
    <row r="995" spans="1:20" s="1" customFormat="1" ht="40.5" customHeight="1" x14ac:dyDescent="0.35">
      <c r="A995" s="605"/>
      <c r="B995" s="541"/>
      <c r="C995" s="465"/>
      <c r="D995" s="466" t="s">
        <v>644</v>
      </c>
      <c r="E995" s="465"/>
      <c r="F995" s="20"/>
      <c r="G995" s="20"/>
      <c r="H995" s="18"/>
      <c r="I995" s="18">
        <f>(H990+H991+H992+H993+H994)/5</f>
        <v>100</v>
      </c>
      <c r="J995" s="128"/>
      <c r="K995" s="466" t="s">
        <v>644</v>
      </c>
      <c r="L995" s="20"/>
      <c r="M995" s="124"/>
      <c r="N995" s="124"/>
      <c r="O995" s="18"/>
      <c r="P995" s="18">
        <f>O990</f>
        <v>101.5228426395939</v>
      </c>
      <c r="Q995" s="18">
        <f>(I995+P995)/2</f>
        <v>100.76142131979695</v>
      </c>
      <c r="R995" s="465" t="s">
        <v>25</v>
      </c>
      <c r="S995" s="557"/>
      <c r="T995" s="2"/>
    </row>
    <row r="996" spans="1:20" s="1" customFormat="1" ht="86.25" customHeight="1" x14ac:dyDescent="0.35">
      <c r="A996" s="605"/>
      <c r="B996" s="541"/>
      <c r="C996" s="454" t="s">
        <v>26</v>
      </c>
      <c r="D996" s="59" t="s">
        <v>113</v>
      </c>
      <c r="E996" s="19"/>
      <c r="F996" s="19"/>
      <c r="G996" s="19"/>
      <c r="H996" s="35"/>
      <c r="I996" s="35"/>
      <c r="J996" s="454" t="s">
        <v>26</v>
      </c>
      <c r="K996" s="59" t="s">
        <v>113</v>
      </c>
      <c r="L996" s="19"/>
      <c r="M996" s="122"/>
      <c r="N996" s="122"/>
      <c r="O996" s="35"/>
      <c r="P996" s="468"/>
      <c r="Q996" s="35"/>
      <c r="R996" s="19"/>
      <c r="S996" s="557"/>
      <c r="T996" s="2"/>
    </row>
    <row r="997" spans="1:20" s="1" customFormat="1" ht="77.25" customHeight="1" x14ac:dyDescent="0.35">
      <c r="A997" s="605"/>
      <c r="B997" s="541"/>
      <c r="C997" s="19" t="s">
        <v>28</v>
      </c>
      <c r="D997" s="41" t="s">
        <v>114</v>
      </c>
      <c r="E997" s="19" t="s">
        <v>18</v>
      </c>
      <c r="F997" s="19">
        <v>100</v>
      </c>
      <c r="G997" s="19">
        <v>100</v>
      </c>
      <c r="H997" s="24">
        <f>IF(G997/F997*100&gt;100,100,G997/F997*100)</f>
        <v>100</v>
      </c>
      <c r="I997" s="19"/>
      <c r="J997" s="129" t="s">
        <v>28</v>
      </c>
      <c r="K997" s="41" t="s">
        <v>106</v>
      </c>
      <c r="L997" s="19" t="s">
        <v>20</v>
      </c>
      <c r="M997" s="19">
        <v>266</v>
      </c>
      <c r="N997" s="19">
        <v>257</v>
      </c>
      <c r="O997" s="24">
        <f>IF(N997/M997*100&gt;110,110,N997/M997*100)</f>
        <v>96.616541353383454</v>
      </c>
      <c r="P997" s="19"/>
      <c r="Q997" s="35"/>
      <c r="R997" s="19"/>
      <c r="S997" s="557"/>
      <c r="T997" s="2"/>
    </row>
    <row r="998" spans="1:20" s="1" customFormat="1" ht="45" customHeight="1" x14ac:dyDescent="0.35">
      <c r="A998" s="605"/>
      <c r="B998" s="541"/>
      <c r="C998" s="19" t="s">
        <v>30</v>
      </c>
      <c r="D998" s="41" t="s">
        <v>115</v>
      </c>
      <c r="E998" s="19" t="s">
        <v>18</v>
      </c>
      <c r="F998" s="19">
        <v>100</v>
      </c>
      <c r="G998" s="19">
        <v>100</v>
      </c>
      <c r="H998" s="24">
        <f>IF(G998/F998*100&gt;100,100,G998/F998*100)</f>
        <v>100</v>
      </c>
      <c r="I998" s="19"/>
      <c r="J998" s="129"/>
      <c r="K998" s="41"/>
      <c r="L998" s="19"/>
      <c r="M998" s="122"/>
      <c r="N998" s="122"/>
      <c r="O998" s="24"/>
      <c r="P998" s="468"/>
      <c r="Q998" s="35"/>
      <c r="R998" s="19"/>
      <c r="S998" s="557"/>
      <c r="T998" s="2"/>
    </row>
    <row r="999" spans="1:20" s="1" customFormat="1" ht="58.5" customHeight="1" x14ac:dyDescent="0.35">
      <c r="A999" s="605"/>
      <c r="B999" s="541"/>
      <c r="C999" s="19" t="s">
        <v>34</v>
      </c>
      <c r="D999" s="41" t="s">
        <v>108</v>
      </c>
      <c r="E999" s="19" t="s">
        <v>18</v>
      </c>
      <c r="F999" s="19">
        <v>100</v>
      </c>
      <c r="G999" s="19">
        <v>100</v>
      </c>
      <c r="H999" s="24">
        <f>IF(G999/F999*100&gt;100,100,G999/F999*100)</f>
        <v>100</v>
      </c>
      <c r="I999" s="19"/>
      <c r="J999" s="129"/>
      <c r="K999" s="41"/>
      <c r="L999" s="19"/>
      <c r="M999" s="122"/>
      <c r="N999" s="122"/>
      <c r="O999" s="24"/>
      <c r="P999" s="468"/>
      <c r="Q999" s="35"/>
      <c r="R999" s="19"/>
      <c r="S999" s="557"/>
      <c r="T999" s="2"/>
    </row>
    <row r="1000" spans="1:20" s="1" customFormat="1" ht="75.75" customHeight="1" x14ac:dyDescent="0.35">
      <c r="A1000" s="605"/>
      <c r="B1000" s="541"/>
      <c r="C1000" s="19" t="s">
        <v>78</v>
      </c>
      <c r="D1000" s="41" t="s">
        <v>17</v>
      </c>
      <c r="E1000" s="19" t="s">
        <v>18</v>
      </c>
      <c r="F1000" s="19">
        <v>90</v>
      </c>
      <c r="G1000" s="19">
        <v>100</v>
      </c>
      <c r="H1000" s="24">
        <f>IF(G1000/F1000*100&gt;100,100,G1000/F1000*100)</f>
        <v>100</v>
      </c>
      <c r="I1000" s="19"/>
      <c r="J1000" s="129"/>
      <c r="K1000" s="41"/>
      <c r="L1000" s="19"/>
      <c r="M1000" s="122"/>
      <c r="N1000" s="122"/>
      <c r="O1000" s="24"/>
      <c r="P1000" s="468"/>
      <c r="Q1000" s="35"/>
      <c r="R1000" s="19"/>
      <c r="S1000" s="557"/>
      <c r="T1000" s="2"/>
    </row>
    <row r="1001" spans="1:20" s="1" customFormat="1" ht="126" customHeight="1" x14ac:dyDescent="0.35">
      <c r="A1001" s="605"/>
      <c r="B1001" s="541"/>
      <c r="C1001" s="19" t="s">
        <v>79</v>
      </c>
      <c r="D1001" s="41" t="s">
        <v>111</v>
      </c>
      <c r="E1001" s="19" t="s">
        <v>18</v>
      </c>
      <c r="F1001" s="19">
        <v>100</v>
      </c>
      <c r="G1001" s="19">
        <v>100</v>
      </c>
      <c r="H1001" s="24">
        <f>IF(G1001/F1001*100&gt;100,100,G1001/F1001*100)</f>
        <v>100</v>
      </c>
      <c r="I1001" s="19"/>
      <c r="J1001" s="129"/>
      <c r="K1001" s="41"/>
      <c r="L1001" s="19"/>
      <c r="M1001" s="122"/>
      <c r="N1001" s="122"/>
      <c r="O1001" s="24"/>
      <c r="P1001" s="468"/>
      <c r="Q1001" s="35"/>
      <c r="R1001" s="19"/>
      <c r="S1001" s="557"/>
      <c r="T1001" s="2"/>
    </row>
    <row r="1002" spans="1:20" s="1" customFormat="1" ht="48" customHeight="1" x14ac:dyDescent="0.35">
      <c r="A1002" s="605"/>
      <c r="B1002" s="541"/>
      <c r="C1002" s="465"/>
      <c r="D1002" s="466" t="s">
        <v>644</v>
      </c>
      <c r="E1002" s="465"/>
      <c r="F1002" s="20"/>
      <c r="G1002" s="20"/>
      <c r="H1002" s="18"/>
      <c r="I1002" s="18">
        <f>(H997+H998+H999+H1000+H1001)/5</f>
        <v>100</v>
      </c>
      <c r="J1002" s="128"/>
      <c r="K1002" s="466" t="s">
        <v>644</v>
      </c>
      <c r="L1002" s="20"/>
      <c r="M1002" s="124"/>
      <c r="N1002" s="124"/>
      <c r="O1002" s="18"/>
      <c r="P1002" s="18">
        <f>O997</f>
        <v>96.616541353383454</v>
      </c>
      <c r="Q1002" s="18">
        <f>(I1002+P1002)/2</f>
        <v>98.308270676691734</v>
      </c>
      <c r="R1002" s="465" t="s">
        <v>112</v>
      </c>
      <c r="S1002" s="557"/>
      <c r="T1002" s="2"/>
    </row>
    <row r="1003" spans="1:20" s="1" customFormat="1" ht="83.25" customHeight="1" x14ac:dyDescent="0.35">
      <c r="A1003" s="605"/>
      <c r="B1003" s="541"/>
      <c r="C1003" s="454" t="s">
        <v>36</v>
      </c>
      <c r="D1003" s="59" t="s">
        <v>116</v>
      </c>
      <c r="E1003" s="19"/>
      <c r="F1003" s="19"/>
      <c r="G1003" s="19"/>
      <c r="H1003" s="35"/>
      <c r="I1003" s="35"/>
      <c r="J1003" s="454" t="s">
        <v>36</v>
      </c>
      <c r="K1003" s="59" t="str">
        <f>D1003</f>
        <v>Реализация основных общеобразовательных программ среднего общего образования</v>
      </c>
      <c r="L1003" s="19"/>
      <c r="M1003" s="122"/>
      <c r="N1003" s="122"/>
      <c r="O1003" s="35"/>
      <c r="P1003" s="468"/>
      <c r="Q1003" s="35"/>
      <c r="R1003" s="19"/>
      <c r="S1003" s="557"/>
      <c r="T1003" s="2"/>
    </row>
    <row r="1004" spans="1:20" s="1" customFormat="1" ht="78" customHeight="1" x14ac:dyDescent="0.35">
      <c r="A1004" s="605"/>
      <c r="B1004" s="541"/>
      <c r="C1004" s="19" t="s">
        <v>38</v>
      </c>
      <c r="D1004" s="41" t="s">
        <v>117</v>
      </c>
      <c r="E1004" s="19" t="s">
        <v>18</v>
      </c>
      <c r="F1004" s="19">
        <v>100</v>
      </c>
      <c r="G1004" s="19">
        <v>100</v>
      </c>
      <c r="H1004" s="24">
        <f>IF(G1004/F1004*100&gt;100,100,G1004/F1004*100)</f>
        <v>100</v>
      </c>
      <c r="I1004" s="19"/>
      <c r="J1004" s="129" t="s">
        <v>38</v>
      </c>
      <c r="K1004" s="41" t="s">
        <v>106</v>
      </c>
      <c r="L1004" s="19" t="s">
        <v>20</v>
      </c>
      <c r="M1004" s="19">
        <v>32</v>
      </c>
      <c r="N1004" s="19">
        <v>30</v>
      </c>
      <c r="O1004" s="24">
        <f>IF(N1004/M1004*100&gt;110,110,N1004/M1004*100)</f>
        <v>93.75</v>
      </c>
      <c r="P1004" s="19"/>
      <c r="Q1004" s="35"/>
      <c r="R1004" s="19"/>
      <c r="S1004" s="557"/>
      <c r="T1004" s="2"/>
    </row>
    <row r="1005" spans="1:20" s="1" customFormat="1" ht="36.75" customHeight="1" x14ac:dyDescent="0.35">
      <c r="A1005" s="605"/>
      <c r="B1005" s="541"/>
      <c r="C1005" s="19" t="s">
        <v>118</v>
      </c>
      <c r="D1005" s="41" t="s">
        <v>119</v>
      </c>
      <c r="E1005" s="19" t="s">
        <v>18</v>
      </c>
      <c r="F1005" s="19">
        <v>100</v>
      </c>
      <c r="G1005" s="19">
        <v>100</v>
      </c>
      <c r="H1005" s="24">
        <f>IF(G1005/F1005*100&gt;100,100,G1005/F1005*100)</f>
        <v>100</v>
      </c>
      <c r="I1005" s="19"/>
      <c r="J1005" s="129"/>
      <c r="K1005" s="41"/>
      <c r="L1005" s="19"/>
      <c r="M1005" s="122"/>
      <c r="N1005" s="122"/>
      <c r="O1005" s="24"/>
      <c r="P1005" s="468"/>
      <c r="Q1005" s="35"/>
      <c r="R1005" s="19"/>
      <c r="S1005" s="557"/>
      <c r="T1005" s="2"/>
    </row>
    <row r="1006" spans="1:20" s="1" customFormat="1" ht="51.75" customHeight="1" x14ac:dyDescent="0.35">
      <c r="A1006" s="605"/>
      <c r="B1006" s="541"/>
      <c r="C1006" s="19" t="s">
        <v>120</v>
      </c>
      <c r="D1006" s="41" t="s">
        <v>108</v>
      </c>
      <c r="E1006" s="19" t="s">
        <v>18</v>
      </c>
      <c r="F1006" s="19">
        <v>100</v>
      </c>
      <c r="G1006" s="19">
        <v>100</v>
      </c>
      <c r="H1006" s="24">
        <f>IF(G1006/F1006*100&gt;100,100,G1006/F1006*100)</f>
        <v>100</v>
      </c>
      <c r="I1006" s="19"/>
      <c r="J1006" s="129"/>
      <c r="K1006" s="41"/>
      <c r="L1006" s="19"/>
      <c r="M1006" s="122"/>
      <c r="N1006" s="122"/>
      <c r="O1006" s="24"/>
      <c r="P1006" s="468"/>
      <c r="Q1006" s="35"/>
      <c r="R1006" s="19"/>
      <c r="S1006" s="557"/>
      <c r="T1006" s="2"/>
    </row>
    <row r="1007" spans="1:20" s="1" customFormat="1" ht="72.75" customHeight="1" x14ac:dyDescent="0.35">
      <c r="A1007" s="605"/>
      <c r="B1007" s="541"/>
      <c r="C1007" s="19" t="s">
        <v>121</v>
      </c>
      <c r="D1007" s="41" t="s">
        <v>17</v>
      </c>
      <c r="E1007" s="19" t="s">
        <v>18</v>
      </c>
      <c r="F1007" s="19">
        <v>90</v>
      </c>
      <c r="G1007" s="19">
        <v>100</v>
      </c>
      <c r="H1007" s="24">
        <f>IF(G1007/F1007*100&gt;100,100,G1007/F1007*100)</f>
        <v>100</v>
      </c>
      <c r="I1007" s="19"/>
      <c r="J1007" s="129"/>
      <c r="K1007" s="41"/>
      <c r="L1007" s="19"/>
      <c r="M1007" s="122"/>
      <c r="N1007" s="122"/>
      <c r="O1007" s="24"/>
      <c r="P1007" s="468"/>
      <c r="Q1007" s="35"/>
      <c r="R1007" s="19"/>
      <c r="S1007" s="557"/>
      <c r="T1007" s="2"/>
    </row>
    <row r="1008" spans="1:20" s="1" customFormat="1" ht="126" customHeight="1" x14ac:dyDescent="0.35">
      <c r="A1008" s="605"/>
      <c r="B1008" s="541"/>
      <c r="C1008" s="19" t="s">
        <v>122</v>
      </c>
      <c r="D1008" s="41" t="s">
        <v>111</v>
      </c>
      <c r="E1008" s="19" t="s">
        <v>18</v>
      </c>
      <c r="F1008" s="19">
        <v>100</v>
      </c>
      <c r="G1008" s="19">
        <v>100</v>
      </c>
      <c r="H1008" s="24">
        <f>IF(G1008/F1008*100&gt;100,100,G1008/F1008*100)</f>
        <v>100</v>
      </c>
      <c r="I1008" s="19"/>
      <c r="J1008" s="129"/>
      <c r="K1008" s="41"/>
      <c r="L1008" s="19"/>
      <c r="M1008" s="122"/>
      <c r="N1008" s="122"/>
      <c r="O1008" s="24"/>
      <c r="P1008" s="468"/>
      <c r="Q1008" s="35"/>
      <c r="R1008" s="19"/>
      <c r="S1008" s="557"/>
      <c r="T1008" s="2"/>
    </row>
    <row r="1009" spans="1:20" s="1" customFormat="1" ht="48" customHeight="1" x14ac:dyDescent="0.35">
      <c r="A1009" s="605"/>
      <c r="B1009" s="541"/>
      <c r="C1009" s="465"/>
      <c r="D1009" s="466" t="s">
        <v>644</v>
      </c>
      <c r="E1009" s="465"/>
      <c r="F1009" s="20"/>
      <c r="G1009" s="20"/>
      <c r="H1009" s="18"/>
      <c r="I1009" s="18">
        <f>(H1004+H1005+H1006+H1007+H1008)/5</f>
        <v>100</v>
      </c>
      <c r="J1009" s="128"/>
      <c r="K1009" s="466" t="s">
        <v>644</v>
      </c>
      <c r="L1009" s="20"/>
      <c r="M1009" s="124"/>
      <c r="N1009" s="124"/>
      <c r="O1009" s="18"/>
      <c r="P1009" s="18">
        <f>O1004</f>
        <v>93.75</v>
      </c>
      <c r="Q1009" s="18">
        <f>(I1009+P1009)/2</f>
        <v>96.875</v>
      </c>
      <c r="R1009" s="465" t="s">
        <v>112</v>
      </c>
      <c r="S1009" s="557"/>
      <c r="T1009" s="2"/>
    </row>
    <row r="1010" spans="1:20" s="1" customFormat="1" ht="45" customHeight="1" x14ac:dyDescent="0.35">
      <c r="A1010" s="605"/>
      <c r="B1010" s="541"/>
      <c r="C1010" s="454" t="s">
        <v>123</v>
      </c>
      <c r="D1010" s="59" t="s">
        <v>27</v>
      </c>
      <c r="E1010" s="19"/>
      <c r="F1010" s="19"/>
      <c r="G1010" s="19"/>
      <c r="H1010" s="35"/>
      <c r="I1010" s="35"/>
      <c r="J1010" s="454" t="s">
        <v>123</v>
      </c>
      <c r="K1010" s="59" t="s">
        <v>27</v>
      </c>
      <c r="L1010" s="19"/>
      <c r="M1010" s="122"/>
      <c r="N1010" s="122"/>
      <c r="O1010" s="35"/>
      <c r="P1010" s="468"/>
      <c r="Q1010" s="35"/>
      <c r="R1010" s="19"/>
      <c r="S1010" s="557"/>
      <c r="T1010" s="2"/>
    </row>
    <row r="1011" spans="1:20" s="1" customFormat="1" ht="48" customHeight="1" x14ac:dyDescent="0.35">
      <c r="A1011" s="605"/>
      <c r="B1011" s="541"/>
      <c r="C1011" s="19" t="s">
        <v>124</v>
      </c>
      <c r="D1011" s="41" t="s">
        <v>125</v>
      </c>
      <c r="E1011" s="19" t="s">
        <v>18</v>
      </c>
      <c r="F1011" s="19">
        <v>100</v>
      </c>
      <c r="G1011" s="19">
        <v>100</v>
      </c>
      <c r="H1011" s="24">
        <f>IF(G1011/F1011*100&gt;100,100,G1011/F1011*100)</f>
        <v>100</v>
      </c>
      <c r="I1011" s="19"/>
      <c r="J1011" s="129" t="s">
        <v>124</v>
      </c>
      <c r="K1011" s="41" t="s">
        <v>106</v>
      </c>
      <c r="L1011" s="19" t="s">
        <v>20</v>
      </c>
      <c r="M1011" s="19">
        <v>198</v>
      </c>
      <c r="N1011" s="19">
        <v>198</v>
      </c>
      <c r="O1011" s="24">
        <f>IF(N1011/M1011*100&gt;110,110,N1011/M1011*100)</f>
        <v>100</v>
      </c>
      <c r="P1011" s="468"/>
      <c r="Q1011" s="35"/>
      <c r="R1011" s="19"/>
      <c r="S1011" s="557"/>
      <c r="T1011" s="2"/>
    </row>
    <row r="1012" spans="1:20" s="1" customFormat="1" ht="81.75" customHeight="1" x14ac:dyDescent="0.35">
      <c r="A1012" s="605"/>
      <c r="B1012" s="541"/>
      <c r="C1012" s="19" t="s">
        <v>127</v>
      </c>
      <c r="D1012" s="41" t="s">
        <v>128</v>
      </c>
      <c r="E1012" s="19" t="s">
        <v>18</v>
      </c>
      <c r="F1012" s="19">
        <v>90</v>
      </c>
      <c r="G1012" s="19">
        <v>90</v>
      </c>
      <c r="H1012" s="24">
        <f>IF(G1012/F1012*100&gt;100,100,G1012/F1012*100)</f>
        <v>100</v>
      </c>
      <c r="I1012" s="19"/>
      <c r="J1012" s="129"/>
      <c r="K1012" s="41"/>
      <c r="L1012" s="19"/>
      <c r="M1012" s="122"/>
      <c r="N1012" s="122"/>
      <c r="O1012" s="24"/>
      <c r="P1012" s="468"/>
      <c r="Q1012" s="35"/>
      <c r="R1012" s="19"/>
      <c r="S1012" s="557"/>
      <c r="T1012" s="2"/>
    </row>
    <row r="1013" spans="1:20" s="1" customFormat="1" ht="54" customHeight="1" x14ac:dyDescent="0.35">
      <c r="A1013" s="605"/>
      <c r="B1013" s="541"/>
      <c r="C1013" s="465"/>
      <c r="D1013" s="466" t="s">
        <v>644</v>
      </c>
      <c r="E1013" s="465"/>
      <c r="F1013" s="20"/>
      <c r="G1013" s="20"/>
      <c r="H1013" s="18"/>
      <c r="I1013" s="18">
        <f>(H1011+H1012)/2</f>
        <v>100</v>
      </c>
      <c r="J1013" s="128"/>
      <c r="K1013" s="466" t="s">
        <v>644</v>
      </c>
      <c r="L1013" s="20"/>
      <c r="M1013" s="124"/>
      <c r="N1013" s="124"/>
      <c r="O1013" s="18"/>
      <c r="P1013" s="18">
        <f>O1011</f>
        <v>100</v>
      </c>
      <c r="Q1013" s="18">
        <f>(I1013+P1013)/2</f>
        <v>100</v>
      </c>
      <c r="R1013" s="465" t="s">
        <v>25</v>
      </c>
      <c r="S1013" s="557"/>
      <c r="T1013" s="2"/>
    </row>
    <row r="1014" spans="1:20" s="1" customFormat="1" ht="237" customHeight="1" x14ac:dyDescent="0.35">
      <c r="A1014" s="605"/>
      <c r="B1014" s="541"/>
      <c r="C1014" s="454" t="s">
        <v>129</v>
      </c>
      <c r="D1014" s="59" t="s">
        <v>275</v>
      </c>
      <c r="E1014" s="454"/>
      <c r="F1014" s="454"/>
      <c r="G1014" s="454"/>
      <c r="H1014" s="35"/>
      <c r="I1014" s="35"/>
      <c r="J1014" s="454" t="s">
        <v>129</v>
      </c>
      <c r="K1014" s="59" t="s">
        <v>276</v>
      </c>
      <c r="L1014" s="19"/>
      <c r="M1014" s="19"/>
      <c r="N1014" s="19"/>
      <c r="O1014" s="35"/>
      <c r="P1014" s="468"/>
      <c r="Q1014" s="35"/>
      <c r="R1014" s="19"/>
      <c r="S1014" s="557"/>
      <c r="T1014" s="2"/>
    </row>
    <row r="1015" spans="1:20" s="1" customFormat="1" ht="81" customHeight="1" x14ac:dyDescent="0.35">
      <c r="A1015" s="605"/>
      <c r="B1015" s="541"/>
      <c r="C1015" s="19" t="s">
        <v>131</v>
      </c>
      <c r="D1015" s="41" t="s">
        <v>17</v>
      </c>
      <c r="E1015" s="19" t="s">
        <v>18</v>
      </c>
      <c r="F1015" s="19">
        <v>90</v>
      </c>
      <c r="G1015" s="19">
        <v>90</v>
      </c>
      <c r="H1015" s="24">
        <f>IF(G1015/F1015*100&gt;100,100,G1015/F1015*100)</f>
        <v>100</v>
      </c>
      <c r="I1015" s="19"/>
      <c r="J1015" s="19" t="s">
        <v>131</v>
      </c>
      <c r="K1015" s="41" t="s">
        <v>273</v>
      </c>
      <c r="L1015" s="19" t="s">
        <v>41</v>
      </c>
      <c r="M1015" s="19">
        <v>9</v>
      </c>
      <c r="N1015" s="19">
        <v>9</v>
      </c>
      <c r="O1015" s="24">
        <f>IF(N1015/M1015*100&gt;110,110,N1015/M1015*100)</f>
        <v>100</v>
      </c>
      <c r="P1015" s="468"/>
      <c r="Q1015" s="35"/>
      <c r="R1015" s="19"/>
      <c r="S1015" s="557"/>
      <c r="T1015" s="2"/>
    </row>
    <row r="1016" spans="1:20" s="1" customFormat="1" ht="56.25" customHeight="1" x14ac:dyDescent="0.35">
      <c r="A1016" s="605"/>
      <c r="B1016" s="541"/>
      <c r="C1016" s="465"/>
      <c r="D1016" s="466" t="s">
        <v>644</v>
      </c>
      <c r="E1016" s="465"/>
      <c r="F1016" s="20"/>
      <c r="G1016" s="20"/>
      <c r="H1016" s="18"/>
      <c r="I1016" s="18">
        <f>H1015</f>
        <v>100</v>
      </c>
      <c r="J1016" s="128"/>
      <c r="K1016" s="466" t="s">
        <v>644</v>
      </c>
      <c r="L1016" s="20"/>
      <c r="M1016" s="124"/>
      <c r="N1016" s="124"/>
      <c r="O1016" s="18"/>
      <c r="P1016" s="18">
        <f>O1015</f>
        <v>100</v>
      </c>
      <c r="Q1016" s="18">
        <f>(I1016+P1016)/2</f>
        <v>100</v>
      </c>
      <c r="R1016" s="465" t="s">
        <v>25</v>
      </c>
      <c r="S1016" s="557"/>
      <c r="T1016" s="2"/>
    </row>
    <row r="1017" spans="1:20" s="1" customFormat="1" ht="246.75" customHeight="1" x14ac:dyDescent="0.35">
      <c r="A1017" s="605"/>
      <c r="B1017" s="541"/>
      <c r="C1017" s="454" t="s">
        <v>140</v>
      </c>
      <c r="D1017" s="59" t="s">
        <v>274</v>
      </c>
      <c r="E1017" s="454"/>
      <c r="F1017" s="454"/>
      <c r="G1017" s="454"/>
      <c r="H1017" s="35"/>
      <c r="I1017" s="35"/>
      <c r="J1017" s="454" t="s">
        <v>140</v>
      </c>
      <c r="K1017" s="59" t="s">
        <v>274</v>
      </c>
      <c r="L1017" s="19"/>
      <c r="M1017" s="19"/>
      <c r="N1017" s="19"/>
      <c r="O1017" s="35"/>
      <c r="P1017" s="468"/>
      <c r="Q1017" s="35"/>
      <c r="R1017" s="19"/>
      <c r="S1017" s="557"/>
      <c r="T1017" s="2"/>
    </row>
    <row r="1018" spans="1:20" s="1" customFormat="1" ht="78.75" customHeight="1" x14ac:dyDescent="0.35">
      <c r="A1018" s="605"/>
      <c r="B1018" s="541"/>
      <c r="C1018" s="19" t="s">
        <v>142</v>
      </c>
      <c r="D1018" s="41" t="s">
        <v>17</v>
      </c>
      <c r="E1018" s="19" t="s">
        <v>18</v>
      </c>
      <c r="F1018" s="19">
        <v>90</v>
      </c>
      <c r="G1018" s="19">
        <v>90</v>
      </c>
      <c r="H1018" s="24">
        <f>IF(G1018/F1018*100&gt;100,100,G1018/F1018*100)</f>
        <v>100</v>
      </c>
      <c r="I1018" s="19"/>
      <c r="J1018" s="19" t="s">
        <v>142</v>
      </c>
      <c r="K1018" s="41" t="s">
        <v>273</v>
      </c>
      <c r="L1018" s="19" t="s">
        <v>41</v>
      </c>
      <c r="M1018" s="19">
        <v>135</v>
      </c>
      <c r="N1018" s="19">
        <v>135</v>
      </c>
      <c r="O1018" s="24">
        <f>IF(N1018/M1018*100&gt;110,110,N1018/M1018*100)</f>
        <v>100</v>
      </c>
      <c r="P1018" s="468"/>
      <c r="Q1018" s="35"/>
      <c r="R1018" s="19"/>
      <c r="S1018" s="557"/>
      <c r="T1018" s="2"/>
    </row>
    <row r="1019" spans="1:20" s="1" customFormat="1" ht="54.75" customHeight="1" x14ac:dyDescent="0.35">
      <c r="A1019" s="605"/>
      <c r="B1019" s="541"/>
      <c r="C1019" s="465"/>
      <c r="D1019" s="466" t="s">
        <v>644</v>
      </c>
      <c r="E1019" s="465"/>
      <c r="F1019" s="20"/>
      <c r="G1019" s="20"/>
      <c r="H1019" s="18"/>
      <c r="I1019" s="18">
        <f>H1018</f>
        <v>100</v>
      </c>
      <c r="J1019" s="128"/>
      <c r="K1019" s="466" t="s">
        <v>644</v>
      </c>
      <c r="L1019" s="20"/>
      <c r="M1019" s="124"/>
      <c r="N1019" s="124"/>
      <c r="O1019" s="18"/>
      <c r="P1019" s="18">
        <f>O1018</f>
        <v>100</v>
      </c>
      <c r="Q1019" s="18">
        <f>(I1019+P1019)/2</f>
        <v>100</v>
      </c>
      <c r="R1019" s="465" t="s">
        <v>25</v>
      </c>
      <c r="S1019" s="557"/>
      <c r="T1019" s="2"/>
    </row>
    <row r="1020" spans="1:20" s="1" customFormat="1" ht="52.5" customHeight="1" x14ac:dyDescent="0.35">
      <c r="A1020" s="605"/>
      <c r="B1020" s="541"/>
      <c r="C1020" s="454" t="s">
        <v>144</v>
      </c>
      <c r="D1020" s="59" t="s">
        <v>130</v>
      </c>
      <c r="E1020" s="19"/>
      <c r="F1020" s="19"/>
      <c r="G1020" s="19"/>
      <c r="H1020" s="35"/>
      <c r="I1020" s="35"/>
      <c r="J1020" s="454" t="s">
        <v>144</v>
      </c>
      <c r="K1020" s="59" t="str">
        <f>D1020</f>
        <v>Реализация дополнительных общеразвивающих программ</v>
      </c>
      <c r="L1020" s="19"/>
      <c r="M1020" s="122"/>
      <c r="N1020" s="122"/>
      <c r="O1020" s="35"/>
      <c r="P1020" s="468"/>
      <c r="Q1020" s="35"/>
      <c r="R1020" s="19"/>
      <c r="S1020" s="557"/>
      <c r="T1020" s="2"/>
    </row>
    <row r="1021" spans="1:20" s="1" customFormat="1" ht="90.75" customHeight="1" x14ac:dyDescent="0.35">
      <c r="A1021" s="605"/>
      <c r="B1021" s="541"/>
      <c r="C1021" s="19" t="s">
        <v>146</v>
      </c>
      <c r="D1021" s="41" t="s">
        <v>128</v>
      </c>
      <c r="E1021" s="19" t="s">
        <v>18</v>
      </c>
      <c r="F1021" s="19">
        <v>90</v>
      </c>
      <c r="G1021" s="19">
        <v>90</v>
      </c>
      <c r="H1021" s="24">
        <f>IF(G1021/F1021*100&gt;100,100,G1021/F1021*100)</f>
        <v>100</v>
      </c>
      <c r="I1021" s="19"/>
      <c r="J1021" s="129" t="s">
        <v>146</v>
      </c>
      <c r="K1021" s="41" t="s">
        <v>136</v>
      </c>
      <c r="L1021" s="19" t="s">
        <v>139</v>
      </c>
      <c r="M1021" s="19">
        <v>29376</v>
      </c>
      <c r="N1021" s="19">
        <v>29376</v>
      </c>
      <c r="O1021" s="24">
        <f>IF(N1021/M1021*100&gt;110,110,N1021/M1021*100)</f>
        <v>100</v>
      </c>
      <c r="P1021" s="468"/>
      <c r="Q1021" s="35"/>
      <c r="R1021" s="19"/>
      <c r="S1021" s="557"/>
      <c r="T1021" s="2"/>
    </row>
    <row r="1022" spans="1:20" s="1" customFormat="1" ht="42.75" customHeight="1" x14ac:dyDescent="0.35">
      <c r="A1022" s="605"/>
      <c r="B1022" s="541"/>
      <c r="C1022" s="465"/>
      <c r="D1022" s="466" t="s">
        <v>644</v>
      </c>
      <c r="E1022" s="465"/>
      <c r="F1022" s="20"/>
      <c r="G1022" s="20"/>
      <c r="H1022" s="18"/>
      <c r="I1022" s="18">
        <f>H1021</f>
        <v>100</v>
      </c>
      <c r="J1022" s="128"/>
      <c r="K1022" s="466" t="s">
        <v>644</v>
      </c>
      <c r="L1022" s="20"/>
      <c r="M1022" s="124"/>
      <c r="N1022" s="124"/>
      <c r="O1022" s="18"/>
      <c r="P1022" s="18">
        <f>O1021</f>
        <v>100</v>
      </c>
      <c r="Q1022" s="18">
        <f>(I1022+P1022)/2</f>
        <v>100</v>
      </c>
      <c r="R1022" s="465" t="s">
        <v>25</v>
      </c>
      <c r="S1022" s="557"/>
      <c r="T1022" s="2"/>
    </row>
    <row r="1023" spans="1:20" s="1" customFormat="1" ht="84" customHeight="1" x14ac:dyDescent="0.35">
      <c r="A1023" s="605">
        <v>53</v>
      </c>
      <c r="B1023" s="541" t="s">
        <v>171</v>
      </c>
      <c r="C1023" s="454" t="s">
        <v>13</v>
      </c>
      <c r="D1023" s="59" t="s">
        <v>103</v>
      </c>
      <c r="E1023" s="454"/>
      <c r="F1023" s="454"/>
      <c r="G1023" s="454"/>
      <c r="H1023" s="35"/>
      <c r="I1023" s="35"/>
      <c r="J1023" s="454" t="s">
        <v>13</v>
      </c>
      <c r="K1023" s="59" t="s">
        <v>103</v>
      </c>
      <c r="L1023" s="19"/>
      <c r="M1023" s="19"/>
      <c r="N1023" s="19"/>
      <c r="O1023" s="35"/>
      <c r="P1023" s="468"/>
      <c r="Q1023" s="35"/>
      <c r="R1023" s="19"/>
      <c r="S1023" s="557" t="s">
        <v>104</v>
      </c>
      <c r="T1023" s="2"/>
    </row>
    <row r="1024" spans="1:20" s="1" customFormat="1" ht="77.25" customHeight="1" x14ac:dyDescent="0.35">
      <c r="A1024" s="605"/>
      <c r="B1024" s="541"/>
      <c r="C1024" s="19" t="s">
        <v>16</v>
      </c>
      <c r="D1024" s="41" t="s">
        <v>105</v>
      </c>
      <c r="E1024" s="19" t="s">
        <v>18</v>
      </c>
      <c r="F1024" s="19">
        <v>100</v>
      </c>
      <c r="G1024" s="19">
        <v>100</v>
      </c>
      <c r="H1024" s="24">
        <f>IF(G1024/F1024*100&gt;100,100,G1024/F1024*100)</f>
        <v>100</v>
      </c>
      <c r="I1024" s="19"/>
      <c r="J1024" s="19" t="s">
        <v>16</v>
      </c>
      <c r="K1024" s="41" t="s">
        <v>106</v>
      </c>
      <c r="L1024" s="19" t="s">
        <v>20</v>
      </c>
      <c r="M1024" s="19">
        <v>155</v>
      </c>
      <c r="N1024" s="19">
        <v>153</v>
      </c>
      <c r="O1024" s="24">
        <f>IF(N1024/M1024*100&gt;110,110,N1024/M1024*100)</f>
        <v>98.709677419354833</v>
      </c>
      <c r="P1024" s="468"/>
      <c r="Q1024" s="35"/>
      <c r="R1024" s="19"/>
      <c r="S1024" s="557"/>
      <c r="T1024" s="2"/>
    </row>
    <row r="1025" spans="1:20" s="1" customFormat="1" x14ac:dyDescent="0.35">
      <c r="A1025" s="605"/>
      <c r="B1025" s="541"/>
      <c r="C1025" s="19" t="s">
        <v>21</v>
      </c>
      <c r="D1025" s="41" t="s">
        <v>135</v>
      </c>
      <c r="E1025" s="19" t="s">
        <v>18</v>
      </c>
      <c r="F1025" s="19">
        <v>100</v>
      </c>
      <c r="G1025" s="19">
        <v>100</v>
      </c>
      <c r="H1025" s="24">
        <f>IF(G1025/F1025*100&gt;100,100,G1025/F1025*100)</f>
        <v>100</v>
      </c>
      <c r="I1025" s="19"/>
      <c r="J1025" s="19"/>
      <c r="K1025" s="455"/>
      <c r="L1025" s="19"/>
      <c r="M1025" s="476"/>
      <c r="N1025" s="476"/>
      <c r="O1025" s="24"/>
      <c r="P1025" s="468"/>
      <c r="Q1025" s="35"/>
      <c r="R1025" s="19"/>
      <c r="S1025" s="557"/>
      <c r="T1025" s="2"/>
    </row>
    <row r="1026" spans="1:20" s="1" customFormat="1" ht="57" customHeight="1" x14ac:dyDescent="0.35">
      <c r="A1026" s="605"/>
      <c r="B1026" s="541"/>
      <c r="C1026" s="19" t="s">
        <v>23</v>
      </c>
      <c r="D1026" s="41" t="s">
        <v>108</v>
      </c>
      <c r="E1026" s="19" t="s">
        <v>18</v>
      </c>
      <c r="F1026" s="19">
        <v>100</v>
      </c>
      <c r="G1026" s="19">
        <v>100</v>
      </c>
      <c r="H1026" s="24">
        <f>IF(G1026/F1026*100&gt;100,100,G1026/F1026*100)</f>
        <v>100</v>
      </c>
      <c r="I1026" s="19"/>
      <c r="J1026" s="129"/>
      <c r="K1026" s="41"/>
      <c r="L1026" s="19"/>
      <c r="M1026" s="122"/>
      <c r="N1026" s="122"/>
      <c r="O1026" s="24"/>
      <c r="P1026" s="468"/>
      <c r="Q1026" s="35"/>
      <c r="R1026" s="19"/>
      <c r="S1026" s="557"/>
      <c r="T1026" s="2"/>
    </row>
    <row r="1027" spans="1:20" s="1" customFormat="1" ht="73.5" customHeight="1" x14ac:dyDescent="0.35">
      <c r="A1027" s="605"/>
      <c r="B1027" s="541"/>
      <c r="C1027" s="19" t="s">
        <v>109</v>
      </c>
      <c r="D1027" s="41" t="s">
        <v>17</v>
      </c>
      <c r="E1027" s="19" t="s">
        <v>18</v>
      </c>
      <c r="F1027" s="19">
        <v>90</v>
      </c>
      <c r="G1027" s="19">
        <v>100</v>
      </c>
      <c r="H1027" s="24">
        <f>IF(G1027/F1027*100&gt;100,100,G1027/F1027*100)</f>
        <v>100</v>
      </c>
      <c r="I1027" s="19"/>
      <c r="J1027" s="129"/>
      <c r="K1027" s="41"/>
      <c r="L1027" s="19"/>
      <c r="M1027" s="122"/>
      <c r="N1027" s="122"/>
      <c r="O1027" s="24"/>
      <c r="P1027" s="468"/>
      <c r="Q1027" s="35"/>
      <c r="R1027" s="19"/>
      <c r="S1027" s="557"/>
      <c r="T1027" s="2"/>
    </row>
    <row r="1028" spans="1:20" s="1" customFormat="1" ht="128.25" customHeight="1" x14ac:dyDescent="0.35">
      <c r="A1028" s="605"/>
      <c r="B1028" s="541"/>
      <c r="C1028" s="19" t="s">
        <v>110</v>
      </c>
      <c r="D1028" s="41" t="s">
        <v>111</v>
      </c>
      <c r="E1028" s="19" t="s">
        <v>18</v>
      </c>
      <c r="F1028" s="19">
        <v>100</v>
      </c>
      <c r="G1028" s="19">
        <v>100</v>
      </c>
      <c r="H1028" s="24">
        <f>IF(G1028/F1028*100&gt;100,100,G1028/F1028*100)</f>
        <v>100</v>
      </c>
      <c r="I1028" s="19"/>
      <c r="J1028" s="129"/>
      <c r="K1028" s="41"/>
      <c r="L1028" s="19"/>
      <c r="M1028" s="122"/>
      <c r="N1028" s="122"/>
      <c r="O1028" s="24"/>
      <c r="P1028" s="468"/>
      <c r="Q1028" s="35"/>
      <c r="R1028" s="19"/>
      <c r="S1028" s="557"/>
      <c r="T1028" s="2"/>
    </row>
    <row r="1029" spans="1:20" s="1" customFormat="1" ht="40.5" customHeight="1" x14ac:dyDescent="0.35">
      <c r="A1029" s="605"/>
      <c r="B1029" s="541"/>
      <c r="C1029" s="465"/>
      <c r="D1029" s="466" t="s">
        <v>644</v>
      </c>
      <c r="E1029" s="465"/>
      <c r="F1029" s="20"/>
      <c r="G1029" s="20"/>
      <c r="H1029" s="18"/>
      <c r="I1029" s="18">
        <f>(H1024+H1025+H1026+H1027+H1028)/5</f>
        <v>100</v>
      </c>
      <c r="J1029" s="128"/>
      <c r="K1029" s="466" t="s">
        <v>644</v>
      </c>
      <c r="L1029" s="20"/>
      <c r="M1029" s="124"/>
      <c r="N1029" s="124"/>
      <c r="O1029" s="18"/>
      <c r="P1029" s="18">
        <f>O1024</f>
        <v>98.709677419354833</v>
      </c>
      <c r="Q1029" s="18">
        <f>(I1029+P1029)/2</f>
        <v>99.354838709677409</v>
      </c>
      <c r="R1029" s="465" t="s">
        <v>112</v>
      </c>
      <c r="S1029" s="557"/>
      <c r="T1029" s="2"/>
    </row>
    <row r="1030" spans="1:20" s="1" customFormat="1" ht="73.5" customHeight="1" x14ac:dyDescent="0.35">
      <c r="A1030" s="605"/>
      <c r="B1030" s="541"/>
      <c r="C1030" s="454" t="s">
        <v>26</v>
      </c>
      <c r="D1030" s="59" t="s">
        <v>113</v>
      </c>
      <c r="E1030" s="19"/>
      <c r="F1030" s="19"/>
      <c r="G1030" s="19"/>
      <c r="H1030" s="35"/>
      <c r="I1030" s="35"/>
      <c r="J1030" s="454" t="s">
        <v>26</v>
      </c>
      <c r="K1030" s="59" t="s">
        <v>113</v>
      </c>
      <c r="L1030" s="19"/>
      <c r="M1030" s="122"/>
      <c r="N1030" s="122"/>
      <c r="O1030" s="35"/>
      <c r="P1030" s="468"/>
      <c r="Q1030" s="35"/>
      <c r="R1030" s="19"/>
      <c r="S1030" s="557"/>
      <c r="T1030" s="2"/>
    </row>
    <row r="1031" spans="1:20" s="1" customFormat="1" ht="70.5" customHeight="1" x14ac:dyDescent="0.35">
      <c r="A1031" s="605"/>
      <c r="B1031" s="541"/>
      <c r="C1031" s="19" t="s">
        <v>28</v>
      </c>
      <c r="D1031" s="41" t="s">
        <v>114</v>
      </c>
      <c r="E1031" s="19" t="s">
        <v>18</v>
      </c>
      <c r="F1031" s="19">
        <v>100</v>
      </c>
      <c r="G1031" s="19">
        <v>100</v>
      </c>
      <c r="H1031" s="24">
        <f>IF(G1031/F1031*100&gt;100,100,G1031/F1031*100)</f>
        <v>100</v>
      </c>
      <c r="I1031" s="19"/>
      <c r="J1031" s="129" t="s">
        <v>28</v>
      </c>
      <c r="K1031" s="41" t="s">
        <v>106</v>
      </c>
      <c r="L1031" s="19" t="s">
        <v>20</v>
      </c>
      <c r="M1031" s="19">
        <v>229</v>
      </c>
      <c r="N1031" s="19">
        <v>234</v>
      </c>
      <c r="O1031" s="24">
        <f>IF(N1031/M1031*100&gt;110,110,N1031/M1031*100)</f>
        <v>102.18340611353712</v>
      </c>
      <c r="P1031" s="19"/>
      <c r="Q1031" s="35"/>
      <c r="R1031" s="19"/>
      <c r="S1031" s="557"/>
      <c r="T1031" s="2"/>
    </row>
    <row r="1032" spans="1:20" s="1" customFormat="1" ht="41.25" customHeight="1" x14ac:dyDescent="0.35">
      <c r="A1032" s="605"/>
      <c r="B1032" s="541"/>
      <c r="C1032" s="19" t="s">
        <v>30</v>
      </c>
      <c r="D1032" s="41" t="s">
        <v>115</v>
      </c>
      <c r="E1032" s="19" t="s">
        <v>18</v>
      </c>
      <c r="F1032" s="19">
        <v>100</v>
      </c>
      <c r="G1032" s="19">
        <v>100</v>
      </c>
      <c r="H1032" s="24">
        <f>IF(G1032/F1032*100&gt;100,100,G1032/F1032*100)</f>
        <v>100</v>
      </c>
      <c r="I1032" s="19"/>
      <c r="J1032" s="129"/>
      <c r="K1032" s="41"/>
      <c r="L1032" s="19"/>
      <c r="M1032" s="122"/>
      <c r="N1032" s="122"/>
      <c r="O1032" s="24"/>
      <c r="P1032" s="468"/>
      <c r="Q1032" s="35"/>
      <c r="R1032" s="19"/>
      <c r="S1032" s="557"/>
      <c r="T1032" s="2"/>
    </row>
    <row r="1033" spans="1:20" s="1" customFormat="1" ht="62.25" customHeight="1" x14ac:dyDescent="0.35">
      <c r="A1033" s="605"/>
      <c r="B1033" s="541"/>
      <c r="C1033" s="19" t="s">
        <v>34</v>
      </c>
      <c r="D1033" s="41" t="s">
        <v>108</v>
      </c>
      <c r="E1033" s="19" t="s">
        <v>18</v>
      </c>
      <c r="F1033" s="19">
        <v>100</v>
      </c>
      <c r="G1033" s="19">
        <v>100</v>
      </c>
      <c r="H1033" s="24">
        <f>IF(G1033/F1033*100&gt;100,100,G1033/F1033*100)</f>
        <v>100</v>
      </c>
      <c r="I1033" s="19"/>
      <c r="J1033" s="129"/>
      <c r="K1033" s="41"/>
      <c r="L1033" s="19"/>
      <c r="M1033" s="122"/>
      <c r="N1033" s="122"/>
      <c r="O1033" s="24"/>
      <c r="P1033" s="468"/>
      <c r="Q1033" s="35"/>
      <c r="R1033" s="19"/>
      <c r="S1033" s="557"/>
      <c r="T1033" s="2"/>
    </row>
    <row r="1034" spans="1:20" s="1" customFormat="1" ht="70.5" customHeight="1" x14ac:dyDescent="0.35">
      <c r="A1034" s="605"/>
      <c r="B1034" s="541"/>
      <c r="C1034" s="19" t="s">
        <v>78</v>
      </c>
      <c r="D1034" s="41" t="s">
        <v>17</v>
      </c>
      <c r="E1034" s="19" t="s">
        <v>18</v>
      </c>
      <c r="F1034" s="19">
        <v>90</v>
      </c>
      <c r="G1034" s="19">
        <v>90</v>
      </c>
      <c r="H1034" s="24">
        <f>IF(G1034/F1034*100&gt;100,100,G1034/F1034*100)</f>
        <v>100</v>
      </c>
      <c r="I1034" s="19"/>
      <c r="J1034" s="129"/>
      <c r="K1034" s="41"/>
      <c r="L1034" s="19"/>
      <c r="M1034" s="122"/>
      <c r="N1034" s="122"/>
      <c r="O1034" s="24"/>
      <c r="P1034" s="468"/>
      <c r="Q1034" s="35"/>
      <c r="R1034" s="19"/>
      <c r="S1034" s="557"/>
      <c r="T1034" s="2"/>
    </row>
    <row r="1035" spans="1:20" s="1" customFormat="1" ht="129" customHeight="1" x14ac:dyDescent="0.35">
      <c r="A1035" s="605"/>
      <c r="B1035" s="541"/>
      <c r="C1035" s="19" t="s">
        <v>79</v>
      </c>
      <c r="D1035" s="41" t="s">
        <v>111</v>
      </c>
      <c r="E1035" s="19" t="s">
        <v>18</v>
      </c>
      <c r="F1035" s="19">
        <v>100</v>
      </c>
      <c r="G1035" s="19">
        <v>100</v>
      </c>
      <c r="H1035" s="24">
        <f>IF(G1035/F1035*100&gt;100,100,G1035/F1035*100)</f>
        <v>100</v>
      </c>
      <c r="I1035" s="19"/>
      <c r="J1035" s="129"/>
      <c r="K1035" s="41"/>
      <c r="L1035" s="19"/>
      <c r="M1035" s="122"/>
      <c r="N1035" s="122"/>
      <c r="O1035" s="24"/>
      <c r="P1035" s="468"/>
      <c r="Q1035" s="35"/>
      <c r="R1035" s="19"/>
      <c r="S1035" s="557"/>
      <c r="T1035" s="2"/>
    </row>
    <row r="1036" spans="1:20" s="1" customFormat="1" ht="40.5" customHeight="1" x14ac:dyDescent="0.35">
      <c r="A1036" s="605"/>
      <c r="B1036" s="541"/>
      <c r="C1036" s="465"/>
      <c r="D1036" s="466" t="s">
        <v>644</v>
      </c>
      <c r="E1036" s="465"/>
      <c r="F1036" s="20"/>
      <c r="G1036" s="20"/>
      <c r="H1036" s="18"/>
      <c r="I1036" s="18">
        <f>(H1031+H1032+H1033+H1034+H1035)/5</f>
        <v>100</v>
      </c>
      <c r="J1036" s="128"/>
      <c r="K1036" s="466" t="s">
        <v>644</v>
      </c>
      <c r="L1036" s="20"/>
      <c r="M1036" s="124"/>
      <c r="N1036" s="124"/>
      <c r="O1036" s="18"/>
      <c r="P1036" s="18">
        <f>O1031</f>
        <v>102.18340611353712</v>
      </c>
      <c r="Q1036" s="18">
        <f>(I1036+P1036)/2</f>
        <v>101.09170305676855</v>
      </c>
      <c r="R1036" s="465" t="s">
        <v>25</v>
      </c>
      <c r="S1036" s="557"/>
      <c r="T1036" s="2"/>
    </row>
    <row r="1037" spans="1:20" s="1" customFormat="1" ht="77.25" customHeight="1" x14ac:dyDescent="0.35">
      <c r="A1037" s="605"/>
      <c r="B1037" s="541"/>
      <c r="C1037" s="454" t="s">
        <v>36</v>
      </c>
      <c r="D1037" s="59" t="s">
        <v>116</v>
      </c>
      <c r="E1037" s="19"/>
      <c r="F1037" s="19"/>
      <c r="G1037" s="19"/>
      <c r="H1037" s="35"/>
      <c r="I1037" s="35"/>
      <c r="J1037" s="454" t="s">
        <v>36</v>
      </c>
      <c r="K1037" s="59" t="str">
        <f>D1037</f>
        <v>Реализация основных общеобразовательных программ среднего общего образования</v>
      </c>
      <c r="L1037" s="19"/>
      <c r="M1037" s="122"/>
      <c r="N1037" s="122"/>
      <c r="O1037" s="35"/>
      <c r="P1037" s="468"/>
      <c r="Q1037" s="35"/>
      <c r="R1037" s="19"/>
      <c r="S1037" s="557"/>
      <c r="T1037" s="2"/>
    </row>
    <row r="1038" spans="1:20" s="1" customFormat="1" ht="75" customHeight="1" x14ac:dyDescent="0.35">
      <c r="A1038" s="605"/>
      <c r="B1038" s="541"/>
      <c r="C1038" s="19" t="s">
        <v>38</v>
      </c>
      <c r="D1038" s="41" t="s">
        <v>117</v>
      </c>
      <c r="E1038" s="19" t="s">
        <v>18</v>
      </c>
      <c r="F1038" s="19">
        <v>100</v>
      </c>
      <c r="G1038" s="19">
        <v>100</v>
      </c>
      <c r="H1038" s="24">
        <f>IF(G1038/F1038*100&gt;100,100,G1038/F1038*100)</f>
        <v>100</v>
      </c>
      <c r="I1038" s="19"/>
      <c r="J1038" s="129" t="s">
        <v>38</v>
      </c>
      <c r="K1038" s="41" t="s">
        <v>106</v>
      </c>
      <c r="L1038" s="19" t="s">
        <v>20</v>
      </c>
      <c r="M1038" s="19">
        <v>23</v>
      </c>
      <c r="N1038" s="19">
        <v>23</v>
      </c>
      <c r="O1038" s="24">
        <f>IF(N1038/M1038*100&gt;110,110,N1038/M1038*100)</f>
        <v>100</v>
      </c>
      <c r="P1038" s="19"/>
      <c r="Q1038" s="35"/>
      <c r="R1038" s="19"/>
      <c r="S1038" s="557"/>
      <c r="T1038" s="2"/>
    </row>
    <row r="1039" spans="1:20" s="1" customFormat="1" x14ac:dyDescent="0.35">
      <c r="A1039" s="605"/>
      <c r="B1039" s="541"/>
      <c r="C1039" s="19" t="s">
        <v>118</v>
      </c>
      <c r="D1039" s="41" t="s">
        <v>119</v>
      </c>
      <c r="E1039" s="19" t="s">
        <v>18</v>
      </c>
      <c r="F1039" s="19">
        <v>100</v>
      </c>
      <c r="G1039" s="19">
        <v>100</v>
      </c>
      <c r="H1039" s="24">
        <f>IF(G1039/F1039*100&gt;100,100,G1039/F1039*100)</f>
        <v>100</v>
      </c>
      <c r="I1039" s="19"/>
      <c r="J1039" s="129"/>
      <c r="K1039" s="41"/>
      <c r="L1039" s="19"/>
      <c r="M1039" s="122"/>
      <c r="N1039" s="122"/>
      <c r="O1039" s="24"/>
      <c r="P1039" s="468"/>
      <c r="Q1039" s="35"/>
      <c r="R1039" s="19"/>
      <c r="S1039" s="557"/>
      <c r="T1039" s="2"/>
    </row>
    <row r="1040" spans="1:20" s="1" customFormat="1" ht="45" customHeight="1" x14ac:dyDescent="0.35">
      <c r="A1040" s="605"/>
      <c r="B1040" s="541"/>
      <c r="C1040" s="19" t="s">
        <v>120</v>
      </c>
      <c r="D1040" s="41" t="s">
        <v>108</v>
      </c>
      <c r="E1040" s="19" t="s">
        <v>18</v>
      </c>
      <c r="F1040" s="19">
        <v>100</v>
      </c>
      <c r="G1040" s="19">
        <v>100</v>
      </c>
      <c r="H1040" s="24">
        <f>IF(G1040/F1040*100&gt;100,100,G1040/F1040*100)</f>
        <v>100</v>
      </c>
      <c r="I1040" s="19"/>
      <c r="J1040" s="129"/>
      <c r="K1040" s="41"/>
      <c r="L1040" s="19"/>
      <c r="M1040" s="122"/>
      <c r="N1040" s="122"/>
      <c r="O1040" s="24"/>
      <c r="P1040" s="468"/>
      <c r="Q1040" s="35"/>
      <c r="R1040" s="19"/>
      <c r="S1040" s="557"/>
      <c r="T1040" s="2"/>
    </row>
    <row r="1041" spans="1:20" s="1" customFormat="1" ht="69" customHeight="1" x14ac:dyDescent="0.35">
      <c r="A1041" s="605"/>
      <c r="B1041" s="541"/>
      <c r="C1041" s="19" t="s">
        <v>121</v>
      </c>
      <c r="D1041" s="41" t="s">
        <v>17</v>
      </c>
      <c r="E1041" s="19" t="s">
        <v>18</v>
      </c>
      <c r="F1041" s="19">
        <v>90</v>
      </c>
      <c r="G1041" s="19">
        <v>90</v>
      </c>
      <c r="H1041" s="24">
        <f>IF(G1041/F1041*100&gt;100,100,G1041/F1041*100)</f>
        <v>100</v>
      </c>
      <c r="I1041" s="19"/>
      <c r="J1041" s="129"/>
      <c r="K1041" s="41"/>
      <c r="L1041" s="19"/>
      <c r="M1041" s="122"/>
      <c r="N1041" s="122"/>
      <c r="O1041" s="24"/>
      <c r="P1041" s="468"/>
      <c r="Q1041" s="35"/>
      <c r="R1041" s="19"/>
      <c r="S1041" s="557"/>
      <c r="T1041" s="2"/>
    </row>
    <row r="1042" spans="1:20" s="1" customFormat="1" ht="131.25" customHeight="1" x14ac:dyDescent="0.35">
      <c r="A1042" s="605"/>
      <c r="B1042" s="541"/>
      <c r="C1042" s="19" t="s">
        <v>122</v>
      </c>
      <c r="D1042" s="41" t="s">
        <v>111</v>
      </c>
      <c r="E1042" s="19" t="s">
        <v>18</v>
      </c>
      <c r="F1042" s="19">
        <v>100</v>
      </c>
      <c r="G1042" s="19">
        <v>100</v>
      </c>
      <c r="H1042" s="24">
        <f>IF(G1042/F1042*100&gt;100,100,G1042/F1042*100)</f>
        <v>100</v>
      </c>
      <c r="I1042" s="19"/>
      <c r="J1042" s="129"/>
      <c r="K1042" s="41"/>
      <c r="L1042" s="19"/>
      <c r="M1042" s="122"/>
      <c r="N1042" s="122"/>
      <c r="O1042" s="24"/>
      <c r="P1042" s="468"/>
      <c r="Q1042" s="35"/>
      <c r="R1042" s="19"/>
      <c r="S1042" s="557"/>
      <c r="T1042" s="2"/>
    </row>
    <row r="1043" spans="1:20" s="1" customFormat="1" ht="40.5" customHeight="1" x14ac:dyDescent="0.35">
      <c r="A1043" s="605"/>
      <c r="B1043" s="541"/>
      <c r="C1043" s="465"/>
      <c r="D1043" s="466" t="s">
        <v>644</v>
      </c>
      <c r="E1043" s="465"/>
      <c r="F1043" s="20"/>
      <c r="G1043" s="20"/>
      <c r="H1043" s="18"/>
      <c r="I1043" s="18">
        <f>(H1038+H1039+H1040+H1041+H1042)/5</f>
        <v>100</v>
      </c>
      <c r="J1043" s="128"/>
      <c r="K1043" s="466" t="s">
        <v>644</v>
      </c>
      <c r="L1043" s="20"/>
      <c r="M1043" s="124"/>
      <c r="N1043" s="124"/>
      <c r="O1043" s="18"/>
      <c r="P1043" s="18">
        <f>O1038</f>
        <v>100</v>
      </c>
      <c r="Q1043" s="18">
        <f>(I1043+P1043)/2</f>
        <v>100</v>
      </c>
      <c r="R1043" s="465" t="s">
        <v>25</v>
      </c>
      <c r="S1043" s="557"/>
      <c r="T1043" s="2"/>
    </row>
    <row r="1044" spans="1:20" s="1" customFormat="1" x14ac:dyDescent="0.35">
      <c r="A1044" s="605"/>
      <c r="B1044" s="541"/>
      <c r="C1044" s="454" t="s">
        <v>123</v>
      </c>
      <c r="D1044" s="59" t="s">
        <v>27</v>
      </c>
      <c r="E1044" s="19"/>
      <c r="F1044" s="19"/>
      <c r="G1044" s="19"/>
      <c r="H1044" s="35"/>
      <c r="I1044" s="35"/>
      <c r="J1044" s="454" t="s">
        <v>123</v>
      </c>
      <c r="K1044" s="59" t="s">
        <v>27</v>
      </c>
      <c r="L1044" s="19"/>
      <c r="M1044" s="122"/>
      <c r="N1044" s="122"/>
      <c r="O1044" s="35"/>
      <c r="P1044" s="468"/>
      <c r="Q1044" s="35"/>
      <c r="R1044" s="19"/>
      <c r="S1044" s="557"/>
      <c r="T1044" s="2"/>
    </row>
    <row r="1045" spans="1:20" s="1" customFormat="1" ht="42.75" customHeight="1" x14ac:dyDescent="0.35">
      <c r="A1045" s="605"/>
      <c r="B1045" s="541"/>
      <c r="C1045" s="19" t="s">
        <v>124</v>
      </c>
      <c r="D1045" s="41" t="s">
        <v>125</v>
      </c>
      <c r="E1045" s="19" t="s">
        <v>18</v>
      </c>
      <c r="F1045" s="19">
        <v>100</v>
      </c>
      <c r="G1045" s="19">
        <v>100</v>
      </c>
      <c r="H1045" s="24">
        <f>IF(G1045/F1045*100&gt;100,100,G1045/F1045*100)</f>
        <v>100</v>
      </c>
      <c r="I1045" s="19"/>
      <c r="J1045" s="129" t="s">
        <v>124</v>
      </c>
      <c r="K1045" s="41" t="s">
        <v>106</v>
      </c>
      <c r="L1045" s="19" t="s">
        <v>20</v>
      </c>
      <c r="M1045" s="19">
        <v>74</v>
      </c>
      <c r="N1045" s="19">
        <v>72</v>
      </c>
      <c r="O1045" s="24">
        <f>IF(N1045/M1045*100&gt;110,110,N1045/M1045*100)</f>
        <v>97.297297297297305</v>
      </c>
      <c r="P1045" s="468"/>
      <c r="Q1045" s="35"/>
      <c r="R1045" s="19"/>
      <c r="S1045" s="557"/>
      <c r="T1045" s="2"/>
    </row>
    <row r="1046" spans="1:20" s="1" customFormat="1" ht="84.75" customHeight="1" x14ac:dyDescent="0.35">
      <c r="A1046" s="605"/>
      <c r="B1046" s="541"/>
      <c r="C1046" s="19" t="s">
        <v>127</v>
      </c>
      <c r="D1046" s="41" t="s">
        <v>128</v>
      </c>
      <c r="E1046" s="19" t="s">
        <v>18</v>
      </c>
      <c r="F1046" s="19">
        <v>90</v>
      </c>
      <c r="G1046" s="19">
        <v>90</v>
      </c>
      <c r="H1046" s="24">
        <f>IF(G1046/F1046*100&gt;100,100,G1046/F1046*100)</f>
        <v>100</v>
      </c>
      <c r="I1046" s="19"/>
      <c r="J1046" s="129"/>
      <c r="K1046" s="41"/>
      <c r="L1046" s="19"/>
      <c r="M1046" s="122"/>
      <c r="N1046" s="122"/>
      <c r="O1046" s="24"/>
      <c r="P1046" s="468"/>
      <c r="Q1046" s="35"/>
      <c r="R1046" s="19"/>
      <c r="S1046" s="557"/>
      <c r="T1046" s="2"/>
    </row>
    <row r="1047" spans="1:20" s="1" customFormat="1" ht="40.5" customHeight="1" x14ac:dyDescent="0.35">
      <c r="A1047" s="605"/>
      <c r="B1047" s="541"/>
      <c r="C1047" s="465"/>
      <c r="D1047" s="466" t="s">
        <v>644</v>
      </c>
      <c r="E1047" s="465"/>
      <c r="F1047" s="20"/>
      <c r="G1047" s="20"/>
      <c r="H1047" s="18"/>
      <c r="I1047" s="18">
        <f>(H1045+H1046)/2</f>
        <v>100</v>
      </c>
      <c r="J1047" s="128"/>
      <c r="K1047" s="466" t="s">
        <v>644</v>
      </c>
      <c r="L1047" s="20"/>
      <c r="M1047" s="124"/>
      <c r="N1047" s="124"/>
      <c r="O1047" s="18"/>
      <c r="P1047" s="18">
        <f>O1045</f>
        <v>97.297297297297305</v>
      </c>
      <c r="Q1047" s="18">
        <f>(I1047+P1047)/2</f>
        <v>98.648648648648646</v>
      </c>
      <c r="R1047" s="465" t="s">
        <v>112</v>
      </c>
      <c r="S1047" s="557"/>
      <c r="T1047" s="2"/>
    </row>
    <row r="1048" spans="1:20" s="1" customFormat="1" ht="246" customHeight="1" x14ac:dyDescent="0.35">
      <c r="A1048" s="605"/>
      <c r="B1048" s="541"/>
      <c r="C1048" s="454" t="s">
        <v>129</v>
      </c>
      <c r="D1048" s="59" t="s">
        <v>275</v>
      </c>
      <c r="E1048" s="454"/>
      <c r="F1048" s="454"/>
      <c r="G1048" s="454"/>
      <c r="H1048" s="35"/>
      <c r="I1048" s="35"/>
      <c r="J1048" s="454" t="s">
        <v>129</v>
      </c>
      <c r="K1048" s="59" t="s">
        <v>275</v>
      </c>
      <c r="L1048" s="19"/>
      <c r="M1048" s="19"/>
      <c r="N1048" s="19"/>
      <c r="O1048" s="35"/>
      <c r="P1048" s="468"/>
      <c r="Q1048" s="35"/>
      <c r="R1048" s="19"/>
      <c r="S1048" s="557"/>
      <c r="T1048" s="2"/>
    </row>
    <row r="1049" spans="1:20" s="1" customFormat="1" ht="83.25" customHeight="1" x14ac:dyDescent="0.35">
      <c r="A1049" s="605"/>
      <c r="B1049" s="541"/>
      <c r="C1049" s="19" t="s">
        <v>131</v>
      </c>
      <c r="D1049" s="41" t="s">
        <v>17</v>
      </c>
      <c r="E1049" s="19" t="s">
        <v>18</v>
      </c>
      <c r="F1049" s="19">
        <v>90</v>
      </c>
      <c r="G1049" s="19">
        <v>90</v>
      </c>
      <c r="H1049" s="24">
        <f>IF(G1049/F1049*100&gt;100,100,G1049/F1049*100)</f>
        <v>100</v>
      </c>
      <c r="I1049" s="19"/>
      <c r="J1049" s="19" t="s">
        <v>131</v>
      </c>
      <c r="K1049" s="41" t="s">
        <v>273</v>
      </c>
      <c r="L1049" s="19" t="s">
        <v>41</v>
      </c>
      <c r="M1049" s="19">
        <v>18</v>
      </c>
      <c r="N1049" s="19">
        <v>18</v>
      </c>
      <c r="O1049" s="24">
        <f>IF(N1049/M1049*100&gt;110,110,N1049/M1049*100)</f>
        <v>100</v>
      </c>
      <c r="P1049" s="468"/>
      <c r="Q1049" s="35"/>
      <c r="R1049" s="19"/>
      <c r="S1049" s="557"/>
      <c r="T1049" s="2"/>
    </row>
    <row r="1050" spans="1:20" s="1" customFormat="1" ht="50.25" customHeight="1" x14ac:dyDescent="0.35">
      <c r="A1050" s="605"/>
      <c r="B1050" s="541"/>
      <c r="C1050" s="465"/>
      <c r="D1050" s="466" t="s">
        <v>644</v>
      </c>
      <c r="E1050" s="465"/>
      <c r="F1050" s="20"/>
      <c r="G1050" s="20"/>
      <c r="H1050" s="18"/>
      <c r="I1050" s="18">
        <f>H1049</f>
        <v>100</v>
      </c>
      <c r="J1050" s="128"/>
      <c r="K1050" s="466" t="s">
        <v>644</v>
      </c>
      <c r="L1050" s="20"/>
      <c r="M1050" s="124"/>
      <c r="N1050" s="124"/>
      <c r="O1050" s="18"/>
      <c r="P1050" s="18">
        <f>O1049</f>
        <v>100</v>
      </c>
      <c r="Q1050" s="18">
        <f>(I1050+P1050)/2</f>
        <v>100</v>
      </c>
      <c r="R1050" s="465" t="s">
        <v>25</v>
      </c>
      <c r="S1050" s="557"/>
      <c r="T1050" s="2"/>
    </row>
    <row r="1051" spans="1:20" s="1" customFormat="1" ht="251.25" customHeight="1" x14ac:dyDescent="0.35">
      <c r="A1051" s="605"/>
      <c r="B1051" s="541"/>
      <c r="C1051" s="454" t="s">
        <v>140</v>
      </c>
      <c r="D1051" s="59" t="s">
        <v>274</v>
      </c>
      <c r="E1051" s="454"/>
      <c r="F1051" s="454"/>
      <c r="G1051" s="454"/>
      <c r="H1051" s="35"/>
      <c r="I1051" s="35"/>
      <c r="J1051" s="454" t="s">
        <v>140</v>
      </c>
      <c r="K1051" s="59" t="s">
        <v>274</v>
      </c>
      <c r="L1051" s="19"/>
      <c r="M1051" s="19"/>
      <c r="N1051" s="19"/>
      <c r="O1051" s="35"/>
      <c r="P1051" s="468"/>
      <c r="Q1051" s="35"/>
      <c r="R1051" s="19"/>
      <c r="S1051" s="557"/>
      <c r="T1051" s="2"/>
    </row>
    <row r="1052" spans="1:20" s="1" customFormat="1" ht="76.5" customHeight="1" x14ac:dyDescent="0.35">
      <c r="A1052" s="605"/>
      <c r="B1052" s="541"/>
      <c r="C1052" s="19" t="s">
        <v>142</v>
      </c>
      <c r="D1052" s="41" t="s">
        <v>17</v>
      </c>
      <c r="E1052" s="19" t="s">
        <v>18</v>
      </c>
      <c r="F1052" s="19">
        <v>90</v>
      </c>
      <c r="G1052" s="19">
        <v>90</v>
      </c>
      <c r="H1052" s="24">
        <f>IF(G1052/F1052*100&gt;100,100,G1052/F1052*100)</f>
        <v>100</v>
      </c>
      <c r="I1052" s="19"/>
      <c r="J1052" s="19" t="s">
        <v>142</v>
      </c>
      <c r="K1052" s="41" t="s">
        <v>273</v>
      </c>
      <c r="L1052" s="19" t="s">
        <v>41</v>
      </c>
      <c r="M1052" s="19">
        <v>165</v>
      </c>
      <c r="N1052" s="19">
        <v>150</v>
      </c>
      <c r="O1052" s="24">
        <f>IF(N1052/M1052*100&gt;110,110,N1052/M1052*100)</f>
        <v>90.909090909090907</v>
      </c>
      <c r="P1052" s="468"/>
      <c r="Q1052" s="35"/>
      <c r="R1052" s="19"/>
      <c r="S1052" s="557"/>
      <c r="T1052" s="2"/>
    </row>
    <row r="1053" spans="1:20" s="1" customFormat="1" ht="54.75" customHeight="1" x14ac:dyDescent="0.35">
      <c r="A1053" s="605"/>
      <c r="B1053" s="541"/>
      <c r="C1053" s="465"/>
      <c r="D1053" s="466" t="s">
        <v>644</v>
      </c>
      <c r="E1053" s="465"/>
      <c r="F1053" s="20"/>
      <c r="G1053" s="20"/>
      <c r="H1053" s="18"/>
      <c r="I1053" s="18">
        <f>H1052</f>
        <v>100</v>
      </c>
      <c r="J1053" s="128"/>
      <c r="K1053" s="466" t="s">
        <v>644</v>
      </c>
      <c r="L1053" s="20"/>
      <c r="M1053" s="124"/>
      <c r="N1053" s="124"/>
      <c r="O1053" s="18"/>
      <c r="P1053" s="18">
        <f>O1052</f>
        <v>90.909090909090907</v>
      </c>
      <c r="Q1053" s="18">
        <f>(I1053+P1053)/2</f>
        <v>95.454545454545453</v>
      </c>
      <c r="R1053" s="465" t="s">
        <v>112</v>
      </c>
      <c r="S1053" s="557"/>
      <c r="T1053" s="2"/>
    </row>
    <row r="1054" spans="1:20" s="1" customFormat="1" ht="68.25" customHeight="1" x14ac:dyDescent="0.35">
      <c r="A1054" s="605"/>
      <c r="B1054" s="541"/>
      <c r="C1054" s="454" t="s">
        <v>144</v>
      </c>
      <c r="D1054" s="59" t="s">
        <v>130</v>
      </c>
      <c r="E1054" s="19"/>
      <c r="F1054" s="19"/>
      <c r="G1054" s="19"/>
      <c r="H1054" s="35"/>
      <c r="I1054" s="35"/>
      <c r="J1054" s="454" t="s">
        <v>144</v>
      </c>
      <c r="K1054" s="59" t="str">
        <f>D1054</f>
        <v>Реализация дополнительных общеразвивающих программ</v>
      </c>
      <c r="L1054" s="19"/>
      <c r="M1054" s="122"/>
      <c r="N1054" s="122"/>
      <c r="O1054" s="35"/>
      <c r="P1054" s="468"/>
      <c r="Q1054" s="35"/>
      <c r="R1054" s="19"/>
      <c r="S1054" s="557"/>
      <c r="T1054" s="2"/>
    </row>
    <row r="1055" spans="1:20" s="1" customFormat="1" ht="75.75" customHeight="1" x14ac:dyDescent="0.35">
      <c r="A1055" s="605"/>
      <c r="B1055" s="541"/>
      <c r="C1055" s="19" t="s">
        <v>146</v>
      </c>
      <c r="D1055" s="41" t="s">
        <v>128</v>
      </c>
      <c r="E1055" s="19" t="s">
        <v>18</v>
      </c>
      <c r="F1055" s="19">
        <v>90</v>
      </c>
      <c r="G1055" s="19">
        <v>90</v>
      </c>
      <c r="H1055" s="24">
        <f>IF(G1055/F1055*100&gt;100,100,G1055/F1055*100)</f>
        <v>100</v>
      </c>
      <c r="I1055" s="19"/>
      <c r="J1055" s="129" t="s">
        <v>146</v>
      </c>
      <c r="K1055" s="41" t="s">
        <v>136</v>
      </c>
      <c r="L1055" s="19" t="s">
        <v>139</v>
      </c>
      <c r="M1055" s="19">
        <v>29376</v>
      </c>
      <c r="N1055" s="19">
        <v>31976</v>
      </c>
      <c r="O1055" s="24">
        <f>IF(N1055/M1055*100&gt;110,110,N1055/M1055*100)</f>
        <v>108.85076252723312</v>
      </c>
      <c r="P1055" s="468"/>
      <c r="Q1055" s="35"/>
      <c r="R1055" s="19"/>
      <c r="S1055" s="557"/>
      <c r="T1055" s="2"/>
    </row>
    <row r="1056" spans="1:20" s="1" customFormat="1" ht="60.75" customHeight="1" x14ac:dyDescent="0.35">
      <c r="A1056" s="605"/>
      <c r="B1056" s="541"/>
      <c r="C1056" s="465"/>
      <c r="D1056" s="466" t="s">
        <v>644</v>
      </c>
      <c r="E1056" s="465"/>
      <c r="F1056" s="20"/>
      <c r="G1056" s="20"/>
      <c r="H1056" s="18"/>
      <c r="I1056" s="18">
        <f>H1055</f>
        <v>100</v>
      </c>
      <c r="J1056" s="128"/>
      <c r="K1056" s="466" t="s">
        <v>644</v>
      </c>
      <c r="L1056" s="20"/>
      <c r="M1056" s="124"/>
      <c r="N1056" s="124"/>
      <c r="O1056" s="18"/>
      <c r="P1056" s="18">
        <f>O1055</f>
        <v>108.85076252723312</v>
      </c>
      <c r="Q1056" s="18">
        <f>(I1056+P1056)/2</f>
        <v>104.42538126361656</v>
      </c>
      <c r="R1056" s="465" t="s">
        <v>25</v>
      </c>
      <c r="S1056" s="557"/>
      <c r="T1056" s="2"/>
    </row>
    <row r="1057" spans="1:20" s="1" customFormat="1" ht="77.25" customHeight="1" x14ac:dyDescent="0.35">
      <c r="A1057" s="605">
        <v>54</v>
      </c>
      <c r="B1057" s="541" t="s">
        <v>172</v>
      </c>
      <c r="C1057" s="454" t="s">
        <v>13</v>
      </c>
      <c r="D1057" s="59" t="s">
        <v>103</v>
      </c>
      <c r="E1057" s="454"/>
      <c r="F1057" s="454"/>
      <c r="G1057" s="454"/>
      <c r="H1057" s="35"/>
      <c r="I1057" s="35"/>
      <c r="J1057" s="454" t="s">
        <v>13</v>
      </c>
      <c r="K1057" s="59" t="s">
        <v>103</v>
      </c>
      <c r="L1057" s="19"/>
      <c r="M1057" s="19"/>
      <c r="N1057" s="19"/>
      <c r="O1057" s="35"/>
      <c r="P1057" s="468"/>
      <c r="Q1057" s="35"/>
      <c r="R1057" s="19"/>
      <c r="S1057" s="557" t="s">
        <v>104</v>
      </c>
      <c r="T1057" s="2"/>
    </row>
    <row r="1058" spans="1:20" s="1" customFormat="1" ht="66" customHeight="1" x14ac:dyDescent="0.35">
      <c r="A1058" s="605"/>
      <c r="B1058" s="541"/>
      <c r="C1058" s="19" t="s">
        <v>16</v>
      </c>
      <c r="D1058" s="41" t="s">
        <v>105</v>
      </c>
      <c r="E1058" s="19" t="s">
        <v>18</v>
      </c>
      <c r="F1058" s="19">
        <v>100</v>
      </c>
      <c r="G1058" s="19">
        <v>100</v>
      </c>
      <c r="H1058" s="24">
        <f>IF(G1058/F1058*100&gt;100,100,G1058/F1058*100)</f>
        <v>100</v>
      </c>
      <c r="I1058" s="19"/>
      <c r="J1058" s="19" t="s">
        <v>16</v>
      </c>
      <c r="K1058" s="41" t="s">
        <v>106</v>
      </c>
      <c r="L1058" s="19" t="s">
        <v>20</v>
      </c>
      <c r="M1058" s="19">
        <v>271</v>
      </c>
      <c r="N1058" s="19">
        <v>268</v>
      </c>
      <c r="O1058" s="24">
        <f>IF(N1058/M1058*100&gt;110,110,N1058/M1058*100)</f>
        <v>98.892988929889299</v>
      </c>
      <c r="P1058" s="468"/>
      <c r="Q1058" s="35"/>
      <c r="R1058" s="19"/>
      <c r="S1058" s="557"/>
      <c r="T1058" s="2"/>
    </row>
    <row r="1059" spans="1:20" s="1" customFormat="1" x14ac:dyDescent="0.35">
      <c r="A1059" s="605"/>
      <c r="B1059" s="541"/>
      <c r="C1059" s="19" t="s">
        <v>21</v>
      </c>
      <c r="D1059" s="41" t="s">
        <v>135</v>
      </c>
      <c r="E1059" s="19" t="s">
        <v>18</v>
      </c>
      <c r="F1059" s="19">
        <v>100</v>
      </c>
      <c r="G1059" s="19">
        <v>100</v>
      </c>
      <c r="H1059" s="24">
        <f>IF(G1059/F1059*100&gt;100,100,G1059/F1059*100)</f>
        <v>100</v>
      </c>
      <c r="I1059" s="19"/>
      <c r="J1059" s="19"/>
      <c r="K1059" s="455"/>
      <c r="L1059" s="19"/>
      <c r="M1059" s="476"/>
      <c r="N1059" s="476"/>
      <c r="O1059" s="24"/>
      <c r="P1059" s="468"/>
      <c r="Q1059" s="35"/>
      <c r="R1059" s="19"/>
      <c r="S1059" s="557"/>
      <c r="T1059" s="2"/>
    </row>
    <row r="1060" spans="1:20" s="1" customFormat="1" ht="45.75" customHeight="1" x14ac:dyDescent="0.35">
      <c r="A1060" s="605"/>
      <c r="B1060" s="541"/>
      <c r="C1060" s="19" t="s">
        <v>23</v>
      </c>
      <c r="D1060" s="41" t="s">
        <v>108</v>
      </c>
      <c r="E1060" s="19" t="s">
        <v>18</v>
      </c>
      <c r="F1060" s="19">
        <v>100</v>
      </c>
      <c r="G1060" s="19">
        <v>100</v>
      </c>
      <c r="H1060" s="24">
        <f>IF(G1060/F1060*100&gt;100,100,G1060/F1060*100)</f>
        <v>100</v>
      </c>
      <c r="I1060" s="19"/>
      <c r="J1060" s="129"/>
      <c r="K1060" s="41"/>
      <c r="L1060" s="19"/>
      <c r="M1060" s="122"/>
      <c r="N1060" s="122"/>
      <c r="O1060" s="24"/>
      <c r="P1060" s="468"/>
      <c r="Q1060" s="35"/>
      <c r="R1060" s="19"/>
      <c r="S1060" s="557"/>
      <c r="T1060" s="2"/>
    </row>
    <row r="1061" spans="1:20" s="1" customFormat="1" ht="69.75" customHeight="1" x14ac:dyDescent="0.35">
      <c r="A1061" s="605"/>
      <c r="B1061" s="541"/>
      <c r="C1061" s="19" t="s">
        <v>109</v>
      </c>
      <c r="D1061" s="41" t="s">
        <v>17</v>
      </c>
      <c r="E1061" s="19" t="s">
        <v>18</v>
      </c>
      <c r="F1061" s="19">
        <v>90</v>
      </c>
      <c r="G1061" s="19">
        <v>90</v>
      </c>
      <c r="H1061" s="24">
        <f>IF(G1061/F1061*100&gt;100,100,G1061/F1061*100)</f>
        <v>100</v>
      </c>
      <c r="I1061" s="19"/>
      <c r="J1061" s="129"/>
      <c r="K1061" s="41"/>
      <c r="L1061" s="19"/>
      <c r="M1061" s="122"/>
      <c r="N1061" s="122"/>
      <c r="O1061" s="24"/>
      <c r="P1061" s="468"/>
      <c r="Q1061" s="35"/>
      <c r="R1061" s="19"/>
      <c r="S1061" s="557"/>
      <c r="T1061" s="2"/>
    </row>
    <row r="1062" spans="1:20" s="1" customFormat="1" ht="113.25" customHeight="1" x14ac:dyDescent="0.35">
      <c r="A1062" s="605"/>
      <c r="B1062" s="541"/>
      <c r="C1062" s="19" t="s">
        <v>110</v>
      </c>
      <c r="D1062" s="41" t="s">
        <v>111</v>
      </c>
      <c r="E1062" s="19" t="s">
        <v>18</v>
      </c>
      <c r="F1062" s="19">
        <v>100</v>
      </c>
      <c r="G1062" s="19">
        <v>100</v>
      </c>
      <c r="H1062" s="24">
        <f>IF(G1062/F1062*100&gt;100,100,G1062/F1062*100)</f>
        <v>100</v>
      </c>
      <c r="I1062" s="19"/>
      <c r="J1062" s="129"/>
      <c r="K1062" s="41"/>
      <c r="L1062" s="19"/>
      <c r="M1062" s="122"/>
      <c r="N1062" s="122"/>
      <c r="O1062" s="24"/>
      <c r="P1062" s="468"/>
      <c r="Q1062" s="35"/>
      <c r="R1062" s="19"/>
      <c r="S1062" s="557"/>
      <c r="T1062" s="2"/>
    </row>
    <row r="1063" spans="1:20" s="1" customFormat="1" ht="40.5" customHeight="1" x14ac:dyDescent="0.35">
      <c r="A1063" s="605"/>
      <c r="B1063" s="541"/>
      <c r="C1063" s="465"/>
      <c r="D1063" s="466" t="s">
        <v>644</v>
      </c>
      <c r="E1063" s="465"/>
      <c r="F1063" s="20"/>
      <c r="G1063" s="20"/>
      <c r="H1063" s="18"/>
      <c r="I1063" s="18">
        <f>(H1058+H1059+H1060+H1061+H1062)/5</f>
        <v>100</v>
      </c>
      <c r="J1063" s="128"/>
      <c r="K1063" s="466" t="s">
        <v>644</v>
      </c>
      <c r="L1063" s="20"/>
      <c r="M1063" s="124"/>
      <c r="N1063" s="124"/>
      <c r="O1063" s="18"/>
      <c r="P1063" s="18">
        <f>O1058</f>
        <v>98.892988929889299</v>
      </c>
      <c r="Q1063" s="18">
        <f>(I1063+P1063)/2</f>
        <v>99.446494464944649</v>
      </c>
      <c r="R1063" s="465" t="s">
        <v>112</v>
      </c>
      <c r="S1063" s="557"/>
      <c r="T1063" s="2"/>
    </row>
    <row r="1064" spans="1:20" s="1" customFormat="1" ht="88.5" customHeight="1" x14ac:dyDescent="0.35">
      <c r="A1064" s="605"/>
      <c r="B1064" s="541"/>
      <c r="C1064" s="454" t="s">
        <v>26</v>
      </c>
      <c r="D1064" s="59" t="s">
        <v>113</v>
      </c>
      <c r="E1064" s="19"/>
      <c r="F1064" s="19"/>
      <c r="G1064" s="19"/>
      <c r="H1064" s="35"/>
      <c r="I1064" s="35"/>
      <c r="J1064" s="454" t="s">
        <v>26</v>
      </c>
      <c r="K1064" s="59" t="s">
        <v>113</v>
      </c>
      <c r="L1064" s="19"/>
      <c r="M1064" s="122"/>
      <c r="N1064" s="122"/>
      <c r="O1064" s="35"/>
      <c r="P1064" s="468"/>
      <c r="Q1064" s="35"/>
      <c r="R1064" s="19"/>
      <c r="S1064" s="557"/>
      <c r="T1064" s="2"/>
    </row>
    <row r="1065" spans="1:20" s="1" customFormat="1" ht="69" customHeight="1" x14ac:dyDescent="0.35">
      <c r="A1065" s="605"/>
      <c r="B1065" s="541"/>
      <c r="C1065" s="19" t="s">
        <v>28</v>
      </c>
      <c r="D1065" s="41" t="s">
        <v>114</v>
      </c>
      <c r="E1065" s="19" t="s">
        <v>18</v>
      </c>
      <c r="F1065" s="19">
        <v>100</v>
      </c>
      <c r="G1065" s="19">
        <v>100</v>
      </c>
      <c r="H1065" s="24">
        <f>IF(G1065/F1065*100&gt;100,100,G1065/F1065*100)</f>
        <v>100</v>
      </c>
      <c r="I1065" s="19"/>
      <c r="J1065" s="129" t="s">
        <v>28</v>
      </c>
      <c r="K1065" s="41" t="s">
        <v>106</v>
      </c>
      <c r="L1065" s="19" t="s">
        <v>20</v>
      </c>
      <c r="M1065" s="19">
        <v>382</v>
      </c>
      <c r="N1065" s="19">
        <v>381</v>
      </c>
      <c r="O1065" s="24">
        <f>IF(N1065/M1065*100&gt;110,110,N1065/M1065*100)</f>
        <v>99.738219895287955</v>
      </c>
      <c r="P1065" s="19"/>
      <c r="Q1065" s="35"/>
      <c r="R1065" s="19"/>
      <c r="S1065" s="557"/>
      <c r="T1065" s="2"/>
    </row>
    <row r="1066" spans="1:20" s="1" customFormat="1" x14ac:dyDescent="0.35">
      <c r="A1066" s="605"/>
      <c r="B1066" s="541"/>
      <c r="C1066" s="19" t="s">
        <v>30</v>
      </c>
      <c r="D1066" s="41" t="s">
        <v>115</v>
      </c>
      <c r="E1066" s="19" t="s">
        <v>18</v>
      </c>
      <c r="F1066" s="19">
        <v>100</v>
      </c>
      <c r="G1066" s="19">
        <v>100</v>
      </c>
      <c r="H1066" s="24">
        <f>IF(G1066/F1066*100&gt;100,100,G1066/F1066*100)</f>
        <v>100</v>
      </c>
      <c r="I1066" s="19"/>
      <c r="J1066" s="129"/>
      <c r="K1066" s="41"/>
      <c r="L1066" s="19"/>
      <c r="M1066" s="122"/>
      <c r="N1066" s="122"/>
      <c r="O1066" s="24"/>
      <c r="P1066" s="468"/>
      <c r="Q1066" s="35"/>
      <c r="R1066" s="19"/>
      <c r="S1066" s="557"/>
      <c r="T1066" s="2"/>
    </row>
    <row r="1067" spans="1:20" s="1" customFormat="1" ht="54.75" customHeight="1" x14ac:dyDescent="0.35">
      <c r="A1067" s="605"/>
      <c r="B1067" s="541"/>
      <c r="C1067" s="19" t="s">
        <v>34</v>
      </c>
      <c r="D1067" s="41" t="s">
        <v>108</v>
      </c>
      <c r="E1067" s="19" t="s">
        <v>18</v>
      </c>
      <c r="F1067" s="19">
        <v>100</v>
      </c>
      <c r="G1067" s="19">
        <v>100</v>
      </c>
      <c r="H1067" s="24">
        <f>IF(G1067/F1067*100&gt;100,100,G1067/F1067*100)</f>
        <v>100</v>
      </c>
      <c r="I1067" s="19"/>
      <c r="J1067" s="129"/>
      <c r="K1067" s="41"/>
      <c r="L1067" s="19"/>
      <c r="M1067" s="122"/>
      <c r="N1067" s="122"/>
      <c r="O1067" s="24"/>
      <c r="P1067" s="468"/>
      <c r="Q1067" s="35"/>
      <c r="R1067" s="19"/>
      <c r="S1067" s="557"/>
      <c r="T1067" s="2"/>
    </row>
    <row r="1068" spans="1:20" s="1" customFormat="1" ht="73.5" customHeight="1" x14ac:dyDescent="0.35">
      <c r="A1068" s="605"/>
      <c r="B1068" s="541"/>
      <c r="C1068" s="19" t="s">
        <v>78</v>
      </c>
      <c r="D1068" s="41" t="s">
        <v>17</v>
      </c>
      <c r="E1068" s="19" t="s">
        <v>18</v>
      </c>
      <c r="F1068" s="19">
        <v>90</v>
      </c>
      <c r="G1068" s="19">
        <v>100</v>
      </c>
      <c r="H1068" s="24">
        <f>IF(G1068/F1068*100&gt;100,100,G1068/F1068*100)</f>
        <v>100</v>
      </c>
      <c r="I1068" s="19"/>
      <c r="J1068" s="129"/>
      <c r="K1068" s="41"/>
      <c r="L1068" s="19"/>
      <c r="M1068" s="122"/>
      <c r="N1068" s="122"/>
      <c r="O1068" s="24"/>
      <c r="P1068" s="468"/>
      <c r="Q1068" s="35"/>
      <c r="R1068" s="19"/>
      <c r="S1068" s="557"/>
      <c r="T1068" s="2"/>
    </row>
    <row r="1069" spans="1:20" s="1" customFormat="1" ht="127.5" customHeight="1" x14ac:dyDescent="0.35">
      <c r="A1069" s="605"/>
      <c r="B1069" s="541"/>
      <c r="C1069" s="19" t="s">
        <v>79</v>
      </c>
      <c r="D1069" s="41" t="s">
        <v>111</v>
      </c>
      <c r="E1069" s="19" t="s">
        <v>18</v>
      </c>
      <c r="F1069" s="19">
        <v>100</v>
      </c>
      <c r="G1069" s="19">
        <v>100</v>
      </c>
      <c r="H1069" s="24">
        <f>IF(G1069/F1069*100&gt;100,100,G1069/F1069*100)</f>
        <v>100</v>
      </c>
      <c r="I1069" s="19"/>
      <c r="J1069" s="129"/>
      <c r="K1069" s="41"/>
      <c r="L1069" s="19"/>
      <c r="M1069" s="122"/>
      <c r="N1069" s="122"/>
      <c r="O1069" s="24"/>
      <c r="P1069" s="468"/>
      <c r="Q1069" s="35"/>
      <c r="R1069" s="19"/>
      <c r="S1069" s="557"/>
      <c r="T1069" s="2"/>
    </row>
    <row r="1070" spans="1:20" s="1" customFormat="1" ht="40.5" customHeight="1" x14ac:dyDescent="0.35">
      <c r="A1070" s="605"/>
      <c r="B1070" s="541"/>
      <c r="C1070" s="465"/>
      <c r="D1070" s="466" t="s">
        <v>644</v>
      </c>
      <c r="E1070" s="465"/>
      <c r="F1070" s="20"/>
      <c r="G1070" s="20"/>
      <c r="H1070" s="18"/>
      <c r="I1070" s="18">
        <f>(H1065+H1066+H1067+H1068+H1069)/5</f>
        <v>100</v>
      </c>
      <c r="J1070" s="128"/>
      <c r="K1070" s="466" t="s">
        <v>644</v>
      </c>
      <c r="L1070" s="20"/>
      <c r="M1070" s="124"/>
      <c r="N1070" s="124"/>
      <c r="O1070" s="18"/>
      <c r="P1070" s="18">
        <f>O1065</f>
        <v>99.738219895287955</v>
      </c>
      <c r="Q1070" s="18">
        <f>(I1070+P1070)/2</f>
        <v>99.869109947643977</v>
      </c>
      <c r="R1070" s="465" t="s">
        <v>112</v>
      </c>
      <c r="S1070" s="557"/>
      <c r="T1070" s="2"/>
    </row>
    <row r="1071" spans="1:20" s="1" customFormat="1" ht="82.5" customHeight="1" x14ac:dyDescent="0.35">
      <c r="A1071" s="605"/>
      <c r="B1071" s="541"/>
      <c r="C1071" s="454" t="s">
        <v>36</v>
      </c>
      <c r="D1071" s="59" t="s">
        <v>116</v>
      </c>
      <c r="E1071" s="19"/>
      <c r="F1071" s="19"/>
      <c r="G1071" s="19"/>
      <c r="H1071" s="35"/>
      <c r="I1071" s="35"/>
      <c r="J1071" s="454" t="s">
        <v>36</v>
      </c>
      <c r="K1071" s="59" t="str">
        <f>D1071</f>
        <v>Реализация основных общеобразовательных программ среднего общего образования</v>
      </c>
      <c r="L1071" s="19"/>
      <c r="M1071" s="122"/>
      <c r="N1071" s="122"/>
      <c r="O1071" s="35"/>
      <c r="P1071" s="468"/>
      <c r="Q1071" s="35"/>
      <c r="R1071" s="19"/>
      <c r="S1071" s="557"/>
      <c r="T1071" s="2"/>
    </row>
    <row r="1072" spans="1:20" s="1" customFormat="1" ht="89.25" customHeight="1" x14ac:dyDescent="0.35">
      <c r="A1072" s="605"/>
      <c r="B1072" s="541"/>
      <c r="C1072" s="19" t="s">
        <v>38</v>
      </c>
      <c r="D1072" s="41" t="s">
        <v>117</v>
      </c>
      <c r="E1072" s="19" t="s">
        <v>18</v>
      </c>
      <c r="F1072" s="19">
        <v>100</v>
      </c>
      <c r="G1072" s="19">
        <v>100</v>
      </c>
      <c r="H1072" s="24">
        <f>IF(G1072/F1072*100&gt;100,100,G1072/F1072*100)</f>
        <v>100</v>
      </c>
      <c r="I1072" s="19"/>
      <c r="J1072" s="129" t="s">
        <v>38</v>
      </c>
      <c r="K1072" s="41" t="s">
        <v>106</v>
      </c>
      <c r="L1072" s="19" t="s">
        <v>20</v>
      </c>
      <c r="M1072" s="19">
        <v>53</v>
      </c>
      <c r="N1072" s="19">
        <v>52</v>
      </c>
      <c r="O1072" s="24">
        <f>IF(N1072/M1072*100&gt;110,110,N1072/M1072*100)</f>
        <v>98.113207547169807</v>
      </c>
      <c r="P1072" s="19"/>
      <c r="Q1072" s="35"/>
      <c r="R1072" s="19"/>
      <c r="S1072" s="557"/>
      <c r="T1072" s="2"/>
    </row>
    <row r="1073" spans="1:20" s="1" customFormat="1" x14ac:dyDescent="0.35">
      <c r="A1073" s="605"/>
      <c r="B1073" s="541"/>
      <c r="C1073" s="19" t="s">
        <v>118</v>
      </c>
      <c r="D1073" s="41" t="s">
        <v>119</v>
      </c>
      <c r="E1073" s="19" t="s">
        <v>18</v>
      </c>
      <c r="F1073" s="19">
        <v>100</v>
      </c>
      <c r="G1073" s="19">
        <v>100</v>
      </c>
      <c r="H1073" s="24">
        <f>IF(G1073/F1073*100&gt;100,100,G1073/F1073*100)</f>
        <v>100</v>
      </c>
      <c r="I1073" s="19"/>
      <c r="J1073" s="129"/>
      <c r="K1073" s="41"/>
      <c r="L1073" s="19"/>
      <c r="M1073" s="122"/>
      <c r="N1073" s="122"/>
      <c r="O1073" s="24"/>
      <c r="P1073" s="468"/>
      <c r="Q1073" s="35"/>
      <c r="R1073" s="19"/>
      <c r="S1073" s="557"/>
      <c r="T1073" s="2"/>
    </row>
    <row r="1074" spans="1:20" s="1" customFormat="1" ht="56.25" customHeight="1" x14ac:dyDescent="0.35">
      <c r="A1074" s="605"/>
      <c r="B1074" s="541"/>
      <c r="C1074" s="19" t="s">
        <v>120</v>
      </c>
      <c r="D1074" s="41" t="s">
        <v>108</v>
      </c>
      <c r="E1074" s="19" t="s">
        <v>18</v>
      </c>
      <c r="F1074" s="19">
        <v>100</v>
      </c>
      <c r="G1074" s="19">
        <v>100</v>
      </c>
      <c r="H1074" s="24">
        <f>IF(G1074/F1074*100&gt;100,100,G1074/F1074*100)</f>
        <v>100</v>
      </c>
      <c r="I1074" s="19"/>
      <c r="J1074" s="129"/>
      <c r="K1074" s="41"/>
      <c r="L1074" s="19"/>
      <c r="M1074" s="122"/>
      <c r="N1074" s="122"/>
      <c r="O1074" s="24"/>
      <c r="P1074" s="468"/>
      <c r="Q1074" s="35"/>
      <c r="R1074" s="19"/>
      <c r="S1074" s="557"/>
      <c r="T1074" s="2"/>
    </row>
    <row r="1075" spans="1:20" s="1" customFormat="1" ht="75" customHeight="1" x14ac:dyDescent="0.35">
      <c r="A1075" s="605"/>
      <c r="B1075" s="541"/>
      <c r="C1075" s="19" t="s">
        <v>121</v>
      </c>
      <c r="D1075" s="41" t="s">
        <v>17</v>
      </c>
      <c r="E1075" s="19" t="s">
        <v>18</v>
      </c>
      <c r="F1075" s="19">
        <v>90</v>
      </c>
      <c r="G1075" s="19">
        <v>100</v>
      </c>
      <c r="H1075" s="24">
        <f>IF(G1075/F1075*100&gt;100,100,G1075/F1075*100)</f>
        <v>100</v>
      </c>
      <c r="I1075" s="19"/>
      <c r="J1075" s="129"/>
      <c r="K1075" s="41"/>
      <c r="L1075" s="19"/>
      <c r="M1075" s="122"/>
      <c r="N1075" s="122"/>
      <c r="O1075" s="24"/>
      <c r="P1075" s="468"/>
      <c r="Q1075" s="35"/>
      <c r="R1075" s="19"/>
      <c r="S1075" s="557"/>
      <c r="T1075" s="2"/>
    </row>
    <row r="1076" spans="1:20" s="1" customFormat="1" ht="128.25" customHeight="1" x14ac:dyDescent="0.35">
      <c r="A1076" s="605"/>
      <c r="B1076" s="541"/>
      <c r="C1076" s="19" t="s">
        <v>122</v>
      </c>
      <c r="D1076" s="41" t="s">
        <v>111</v>
      </c>
      <c r="E1076" s="19" t="s">
        <v>18</v>
      </c>
      <c r="F1076" s="19">
        <v>100</v>
      </c>
      <c r="G1076" s="19">
        <v>100</v>
      </c>
      <c r="H1076" s="24">
        <f>IF(G1076/F1076*100&gt;100,100,G1076/F1076*100)</f>
        <v>100</v>
      </c>
      <c r="I1076" s="19"/>
      <c r="J1076" s="129"/>
      <c r="K1076" s="41"/>
      <c r="L1076" s="19"/>
      <c r="M1076" s="122"/>
      <c r="N1076" s="122"/>
      <c r="O1076" s="24"/>
      <c r="P1076" s="468"/>
      <c r="Q1076" s="35"/>
      <c r="R1076" s="19"/>
      <c r="S1076" s="557"/>
      <c r="T1076" s="2"/>
    </row>
    <row r="1077" spans="1:20" s="1" customFormat="1" ht="40.5" customHeight="1" x14ac:dyDescent="0.35">
      <c r="A1077" s="605"/>
      <c r="B1077" s="541"/>
      <c r="C1077" s="465"/>
      <c r="D1077" s="466" t="s">
        <v>644</v>
      </c>
      <c r="E1077" s="465"/>
      <c r="F1077" s="20"/>
      <c r="G1077" s="20"/>
      <c r="H1077" s="18"/>
      <c r="I1077" s="18">
        <f>(H1072+H1073+H1074+H1075+H1076)/5</f>
        <v>100</v>
      </c>
      <c r="J1077" s="128"/>
      <c r="K1077" s="466" t="s">
        <v>644</v>
      </c>
      <c r="L1077" s="20"/>
      <c r="M1077" s="124"/>
      <c r="N1077" s="124"/>
      <c r="O1077" s="18"/>
      <c r="P1077" s="18">
        <f>O1072</f>
        <v>98.113207547169807</v>
      </c>
      <c r="Q1077" s="18">
        <f>(I1077+P1077)/2</f>
        <v>99.056603773584897</v>
      </c>
      <c r="R1077" s="465" t="s">
        <v>112</v>
      </c>
      <c r="S1077" s="557"/>
      <c r="T1077" s="2"/>
    </row>
    <row r="1078" spans="1:20" s="1" customFormat="1" ht="40.5" customHeight="1" x14ac:dyDescent="0.35">
      <c r="A1078" s="605"/>
      <c r="B1078" s="541"/>
      <c r="C1078" s="454" t="s">
        <v>123</v>
      </c>
      <c r="D1078" s="59" t="s">
        <v>27</v>
      </c>
      <c r="E1078" s="19"/>
      <c r="F1078" s="19"/>
      <c r="G1078" s="19"/>
      <c r="H1078" s="35"/>
      <c r="I1078" s="35"/>
      <c r="J1078" s="454" t="s">
        <v>123</v>
      </c>
      <c r="K1078" s="59" t="s">
        <v>27</v>
      </c>
      <c r="L1078" s="19"/>
      <c r="M1078" s="122"/>
      <c r="N1078" s="122"/>
      <c r="O1078" s="35"/>
      <c r="P1078" s="468"/>
      <c r="Q1078" s="35"/>
      <c r="R1078" s="19"/>
      <c r="S1078" s="557"/>
      <c r="T1078" s="2"/>
    </row>
    <row r="1079" spans="1:20" s="1" customFormat="1" ht="67.5" customHeight="1" x14ac:dyDescent="0.35">
      <c r="A1079" s="605"/>
      <c r="B1079" s="541"/>
      <c r="C1079" s="19" t="s">
        <v>124</v>
      </c>
      <c r="D1079" s="41" t="s">
        <v>125</v>
      </c>
      <c r="E1079" s="19" t="s">
        <v>18</v>
      </c>
      <c r="F1079" s="19">
        <v>100</v>
      </c>
      <c r="G1079" s="19">
        <v>100</v>
      </c>
      <c r="H1079" s="24">
        <f>IF(G1079/F1079*100&gt;100,100,G1079/F1079*100)</f>
        <v>100</v>
      </c>
      <c r="I1079" s="19"/>
      <c r="J1079" s="129" t="s">
        <v>124</v>
      </c>
      <c r="K1079" s="41" t="s">
        <v>106</v>
      </c>
      <c r="L1079" s="19" t="s">
        <v>20</v>
      </c>
      <c r="M1079" s="19">
        <v>51</v>
      </c>
      <c r="N1079" s="19">
        <v>51</v>
      </c>
      <c r="O1079" s="24">
        <f>IF(N1079/M1079*100&gt;110,110,N1079/M1079*100)</f>
        <v>100</v>
      </c>
      <c r="P1079" s="468"/>
      <c r="Q1079" s="35"/>
      <c r="R1079" s="19"/>
      <c r="S1079" s="557"/>
      <c r="T1079" s="2"/>
    </row>
    <row r="1080" spans="1:20" s="1" customFormat="1" ht="102.75" customHeight="1" x14ac:dyDescent="0.35">
      <c r="A1080" s="605"/>
      <c r="B1080" s="541"/>
      <c r="C1080" s="19" t="s">
        <v>127</v>
      </c>
      <c r="D1080" s="41" t="s">
        <v>128</v>
      </c>
      <c r="E1080" s="19" t="s">
        <v>18</v>
      </c>
      <c r="F1080" s="19">
        <v>90</v>
      </c>
      <c r="G1080" s="19">
        <v>90</v>
      </c>
      <c r="H1080" s="24">
        <f>IF(G1080/F1080*100&gt;100,100,G1080/F1080*100)</f>
        <v>100</v>
      </c>
      <c r="I1080" s="19"/>
      <c r="J1080" s="129"/>
      <c r="K1080" s="41"/>
      <c r="L1080" s="19"/>
      <c r="M1080" s="122"/>
      <c r="N1080" s="122"/>
      <c r="O1080" s="24"/>
      <c r="P1080" s="468"/>
      <c r="Q1080" s="35"/>
      <c r="R1080" s="19"/>
      <c r="S1080" s="557"/>
      <c r="T1080" s="2"/>
    </row>
    <row r="1081" spans="1:20" s="1" customFormat="1" ht="43.5" customHeight="1" x14ac:dyDescent="0.35">
      <c r="A1081" s="605"/>
      <c r="B1081" s="541"/>
      <c r="C1081" s="465"/>
      <c r="D1081" s="466" t="s">
        <v>644</v>
      </c>
      <c r="E1081" s="465"/>
      <c r="F1081" s="20"/>
      <c r="G1081" s="20"/>
      <c r="H1081" s="18"/>
      <c r="I1081" s="18">
        <f>(H1079+H1080)/2</f>
        <v>100</v>
      </c>
      <c r="J1081" s="128"/>
      <c r="K1081" s="466" t="s">
        <v>644</v>
      </c>
      <c r="L1081" s="20"/>
      <c r="M1081" s="124"/>
      <c r="N1081" s="124"/>
      <c r="O1081" s="18"/>
      <c r="P1081" s="18">
        <f>O1079</f>
        <v>100</v>
      </c>
      <c r="Q1081" s="18">
        <f>(I1081+P1081)/2</f>
        <v>100</v>
      </c>
      <c r="R1081" s="465" t="s">
        <v>25</v>
      </c>
      <c r="S1081" s="557"/>
      <c r="T1081" s="2"/>
    </row>
    <row r="1082" spans="1:20" s="1" customFormat="1" ht="276" customHeight="1" x14ac:dyDescent="0.35">
      <c r="A1082" s="605"/>
      <c r="B1082" s="541"/>
      <c r="C1082" s="454" t="s">
        <v>129</v>
      </c>
      <c r="D1082" s="59" t="s">
        <v>275</v>
      </c>
      <c r="E1082" s="454"/>
      <c r="F1082" s="454"/>
      <c r="G1082" s="454"/>
      <c r="H1082" s="35"/>
      <c r="I1082" s="35"/>
      <c r="J1082" s="454" t="s">
        <v>129</v>
      </c>
      <c r="K1082" s="59" t="s">
        <v>276</v>
      </c>
      <c r="L1082" s="19"/>
      <c r="M1082" s="19"/>
      <c r="N1082" s="19"/>
      <c r="O1082" s="35"/>
      <c r="P1082" s="468"/>
      <c r="Q1082" s="35"/>
      <c r="R1082" s="19"/>
      <c r="S1082" s="557"/>
      <c r="T1082" s="2"/>
    </row>
    <row r="1083" spans="1:20" s="1" customFormat="1" ht="85.5" customHeight="1" x14ac:dyDescent="0.35">
      <c r="A1083" s="605"/>
      <c r="B1083" s="541"/>
      <c r="C1083" s="19" t="s">
        <v>131</v>
      </c>
      <c r="D1083" s="41" t="s">
        <v>17</v>
      </c>
      <c r="E1083" s="19" t="s">
        <v>18</v>
      </c>
      <c r="F1083" s="19">
        <v>90</v>
      </c>
      <c r="G1083" s="19">
        <v>90</v>
      </c>
      <c r="H1083" s="24">
        <f>IF(G1083/F1083*100&gt;100,100,G1083/F1083*100)</f>
        <v>100</v>
      </c>
      <c r="I1083" s="19"/>
      <c r="J1083" s="19" t="s">
        <v>131</v>
      </c>
      <c r="K1083" s="41" t="s">
        <v>273</v>
      </c>
      <c r="L1083" s="19" t="s">
        <v>41</v>
      </c>
      <c r="M1083" s="19">
        <v>9</v>
      </c>
      <c r="N1083" s="19">
        <v>9</v>
      </c>
      <c r="O1083" s="24">
        <f>IF(N1083/M1083*100&gt;110,110,N1083/M1083*100)</f>
        <v>100</v>
      </c>
      <c r="P1083" s="468"/>
      <c r="Q1083" s="35"/>
      <c r="R1083" s="19"/>
      <c r="S1083" s="557"/>
      <c r="T1083" s="2"/>
    </row>
    <row r="1084" spans="1:20" s="1" customFormat="1" ht="43.5" customHeight="1" x14ac:dyDescent="0.35">
      <c r="A1084" s="605"/>
      <c r="B1084" s="541"/>
      <c r="C1084" s="465"/>
      <c r="D1084" s="466" t="s">
        <v>644</v>
      </c>
      <c r="E1084" s="465"/>
      <c r="F1084" s="20"/>
      <c r="G1084" s="20"/>
      <c r="H1084" s="18"/>
      <c r="I1084" s="18">
        <f>H1083</f>
        <v>100</v>
      </c>
      <c r="J1084" s="128"/>
      <c r="K1084" s="466" t="s">
        <v>644</v>
      </c>
      <c r="L1084" s="20"/>
      <c r="M1084" s="124"/>
      <c r="N1084" s="124"/>
      <c r="O1084" s="18"/>
      <c r="P1084" s="18">
        <f>O1083</f>
        <v>100</v>
      </c>
      <c r="Q1084" s="18">
        <f>(I1084+P1084)/2</f>
        <v>100</v>
      </c>
      <c r="R1084" s="465" t="s">
        <v>25</v>
      </c>
      <c r="S1084" s="557"/>
      <c r="T1084" s="2"/>
    </row>
    <row r="1085" spans="1:20" s="1" customFormat="1" ht="251.25" customHeight="1" x14ac:dyDescent="0.35">
      <c r="A1085" s="605"/>
      <c r="B1085" s="541"/>
      <c r="C1085" s="454" t="s">
        <v>140</v>
      </c>
      <c r="D1085" s="59" t="s">
        <v>274</v>
      </c>
      <c r="E1085" s="454"/>
      <c r="F1085" s="454"/>
      <c r="G1085" s="454"/>
      <c r="H1085" s="35"/>
      <c r="I1085" s="35"/>
      <c r="J1085" s="454" t="s">
        <v>140</v>
      </c>
      <c r="K1085" s="59" t="s">
        <v>274</v>
      </c>
      <c r="L1085" s="19"/>
      <c r="M1085" s="19"/>
      <c r="N1085" s="19"/>
      <c r="O1085" s="35"/>
      <c r="P1085" s="468"/>
      <c r="Q1085" s="35"/>
      <c r="R1085" s="19"/>
      <c r="S1085" s="557"/>
      <c r="T1085" s="2"/>
    </row>
    <row r="1086" spans="1:20" s="1" customFormat="1" ht="82.5" customHeight="1" x14ac:dyDescent="0.35">
      <c r="A1086" s="605"/>
      <c r="B1086" s="541"/>
      <c r="C1086" s="19" t="s">
        <v>142</v>
      </c>
      <c r="D1086" s="41" t="s">
        <v>17</v>
      </c>
      <c r="E1086" s="19" t="s">
        <v>18</v>
      </c>
      <c r="F1086" s="19">
        <v>90</v>
      </c>
      <c r="G1086" s="19">
        <v>90</v>
      </c>
      <c r="H1086" s="24">
        <f>IF(G1086/F1086*100&gt;100,100,G1086/F1086*100)</f>
        <v>100</v>
      </c>
      <c r="I1086" s="19"/>
      <c r="J1086" s="19" t="s">
        <v>142</v>
      </c>
      <c r="K1086" s="41" t="s">
        <v>273</v>
      </c>
      <c r="L1086" s="19" t="s">
        <v>41</v>
      </c>
      <c r="M1086" s="19">
        <v>90</v>
      </c>
      <c r="N1086" s="19">
        <v>90</v>
      </c>
      <c r="O1086" s="24">
        <f>IF(N1086/M1086*100&gt;110,110,N1086/M1086*100)</f>
        <v>100</v>
      </c>
      <c r="P1086" s="468"/>
      <c r="Q1086" s="35"/>
      <c r="R1086" s="19"/>
      <c r="S1086" s="557"/>
      <c r="T1086" s="2"/>
    </row>
    <row r="1087" spans="1:20" s="1" customFormat="1" ht="43.5" customHeight="1" x14ac:dyDescent="0.35">
      <c r="A1087" s="605"/>
      <c r="B1087" s="541"/>
      <c r="C1087" s="465"/>
      <c r="D1087" s="466" t="s">
        <v>644</v>
      </c>
      <c r="E1087" s="465"/>
      <c r="F1087" s="20"/>
      <c r="G1087" s="20"/>
      <c r="H1087" s="18"/>
      <c r="I1087" s="18">
        <f>H1086</f>
        <v>100</v>
      </c>
      <c r="J1087" s="128"/>
      <c r="K1087" s="466" t="s">
        <v>644</v>
      </c>
      <c r="L1087" s="20"/>
      <c r="M1087" s="124"/>
      <c r="N1087" s="124"/>
      <c r="O1087" s="18"/>
      <c r="P1087" s="18">
        <f>O1086</f>
        <v>100</v>
      </c>
      <c r="Q1087" s="18">
        <f>(I1087+P1087)/2</f>
        <v>100</v>
      </c>
      <c r="R1087" s="465" t="s">
        <v>25</v>
      </c>
      <c r="S1087" s="557"/>
      <c r="T1087" s="2"/>
    </row>
    <row r="1088" spans="1:20" s="1" customFormat="1" ht="52.5" customHeight="1" x14ac:dyDescent="0.35">
      <c r="A1088" s="605"/>
      <c r="B1088" s="541"/>
      <c r="C1088" s="454" t="s">
        <v>144</v>
      </c>
      <c r="D1088" s="59" t="s">
        <v>130</v>
      </c>
      <c r="E1088" s="19"/>
      <c r="F1088" s="19"/>
      <c r="G1088" s="19"/>
      <c r="H1088" s="35"/>
      <c r="I1088" s="35"/>
      <c r="J1088" s="454" t="str">
        <f>C1088</f>
        <v>VII</v>
      </c>
      <c r="K1088" s="59" t="str">
        <f>D1088</f>
        <v>Реализация дополнительных общеразвивающих программ</v>
      </c>
      <c r="L1088" s="19"/>
      <c r="M1088" s="122"/>
      <c r="N1088" s="122"/>
      <c r="O1088" s="468"/>
      <c r="P1088" s="468"/>
      <c r="Q1088" s="35"/>
      <c r="R1088" s="19"/>
      <c r="S1088" s="557"/>
      <c r="T1088" s="2"/>
    </row>
    <row r="1089" spans="1:20" s="1" customFormat="1" ht="89.25" customHeight="1" x14ac:dyDescent="0.35">
      <c r="A1089" s="605"/>
      <c r="B1089" s="541"/>
      <c r="C1089" s="19" t="s">
        <v>146</v>
      </c>
      <c r="D1089" s="41" t="s">
        <v>128</v>
      </c>
      <c r="E1089" s="19" t="s">
        <v>18</v>
      </c>
      <c r="F1089" s="19">
        <v>90</v>
      </c>
      <c r="G1089" s="19">
        <v>90</v>
      </c>
      <c r="H1089" s="24">
        <f>IF(G1089/F1089*100&gt;100,100,G1089/F1089*100)</f>
        <v>100</v>
      </c>
      <c r="I1089" s="19"/>
      <c r="J1089" s="129" t="s">
        <v>146</v>
      </c>
      <c r="K1089" s="41" t="s">
        <v>136</v>
      </c>
      <c r="L1089" s="19" t="s">
        <v>139</v>
      </c>
      <c r="M1089" s="19">
        <v>51408</v>
      </c>
      <c r="N1089" s="19">
        <v>50680</v>
      </c>
      <c r="O1089" s="24">
        <f>IF(N1089/M1089*100&gt;110,110,N1089/M1089*100)</f>
        <v>98.583877995642695</v>
      </c>
      <c r="P1089" s="468"/>
      <c r="Q1089" s="35"/>
      <c r="R1089" s="19"/>
      <c r="S1089" s="557"/>
      <c r="T1089" s="2"/>
    </row>
    <row r="1090" spans="1:20" s="1" customFormat="1" ht="47.25" customHeight="1" x14ac:dyDescent="0.35">
      <c r="A1090" s="605"/>
      <c r="B1090" s="541"/>
      <c r="C1090" s="465"/>
      <c r="D1090" s="466" t="s">
        <v>644</v>
      </c>
      <c r="E1090" s="465"/>
      <c r="F1090" s="20"/>
      <c r="G1090" s="20"/>
      <c r="H1090" s="18"/>
      <c r="I1090" s="18">
        <f>H1089</f>
        <v>100</v>
      </c>
      <c r="J1090" s="128"/>
      <c r="K1090" s="466" t="s">
        <v>644</v>
      </c>
      <c r="L1090" s="20"/>
      <c r="M1090" s="124"/>
      <c r="N1090" s="124"/>
      <c r="O1090" s="18"/>
      <c r="P1090" s="18">
        <f>O1089</f>
        <v>98.583877995642695</v>
      </c>
      <c r="Q1090" s="18">
        <f>(I1090+P1090)/2</f>
        <v>99.291938997821347</v>
      </c>
      <c r="R1090" s="465" t="s">
        <v>112</v>
      </c>
      <c r="S1090" s="557"/>
      <c r="T1090" s="2"/>
    </row>
    <row r="1091" spans="1:20" s="1" customFormat="1" ht="76.5" customHeight="1" x14ac:dyDescent="0.35">
      <c r="A1091" s="605">
        <v>55</v>
      </c>
      <c r="B1091" s="541" t="s">
        <v>173</v>
      </c>
      <c r="C1091" s="454" t="s">
        <v>13</v>
      </c>
      <c r="D1091" s="59" t="s">
        <v>103</v>
      </c>
      <c r="E1091" s="454"/>
      <c r="F1091" s="454"/>
      <c r="G1091" s="454"/>
      <c r="H1091" s="35"/>
      <c r="I1091" s="35"/>
      <c r="J1091" s="454" t="s">
        <v>13</v>
      </c>
      <c r="K1091" s="59" t="s">
        <v>103</v>
      </c>
      <c r="L1091" s="19"/>
      <c r="M1091" s="19"/>
      <c r="N1091" s="19"/>
      <c r="O1091" s="35"/>
      <c r="P1091" s="468"/>
      <c r="Q1091" s="35"/>
      <c r="R1091" s="19"/>
      <c r="S1091" s="557" t="s">
        <v>104</v>
      </c>
      <c r="T1091" s="2"/>
    </row>
    <row r="1092" spans="1:20" s="1" customFormat="1" ht="82.5" customHeight="1" x14ac:dyDescent="0.35">
      <c r="A1092" s="605"/>
      <c r="B1092" s="541"/>
      <c r="C1092" s="19" t="s">
        <v>16</v>
      </c>
      <c r="D1092" s="41" t="s">
        <v>105</v>
      </c>
      <c r="E1092" s="19" t="s">
        <v>18</v>
      </c>
      <c r="F1092" s="19">
        <v>100</v>
      </c>
      <c r="G1092" s="19">
        <v>100</v>
      </c>
      <c r="H1092" s="24">
        <f>IF(G1092/F1092*100&gt;100,100,G1092/F1092*100)</f>
        <v>100</v>
      </c>
      <c r="I1092" s="19"/>
      <c r="J1092" s="19" t="s">
        <v>16</v>
      </c>
      <c r="K1092" s="41" t="s">
        <v>106</v>
      </c>
      <c r="L1092" s="19" t="s">
        <v>20</v>
      </c>
      <c r="M1092" s="19">
        <v>313</v>
      </c>
      <c r="N1092" s="19">
        <v>310</v>
      </c>
      <c r="O1092" s="24">
        <f>IF(N1092/M1092*100&gt;110,110,N1092/M1092*100)</f>
        <v>99.04153354632588</v>
      </c>
      <c r="P1092" s="468"/>
      <c r="Q1092" s="35"/>
      <c r="R1092" s="19"/>
      <c r="S1092" s="557"/>
      <c r="T1092" s="2"/>
    </row>
    <row r="1093" spans="1:20" s="1" customFormat="1" x14ac:dyDescent="0.35">
      <c r="A1093" s="605"/>
      <c r="B1093" s="541"/>
      <c r="C1093" s="19" t="s">
        <v>21</v>
      </c>
      <c r="D1093" s="41" t="s">
        <v>135</v>
      </c>
      <c r="E1093" s="19" t="s">
        <v>18</v>
      </c>
      <c r="F1093" s="19">
        <v>100</v>
      </c>
      <c r="G1093" s="19">
        <v>100</v>
      </c>
      <c r="H1093" s="24">
        <f>IF(G1093/F1093*100&gt;100,100,G1093/F1093*100)</f>
        <v>100</v>
      </c>
      <c r="I1093" s="19"/>
      <c r="J1093" s="19"/>
      <c r="K1093" s="455"/>
      <c r="L1093" s="19"/>
      <c r="M1093" s="476"/>
      <c r="N1093" s="476"/>
      <c r="O1093" s="24"/>
      <c r="P1093" s="468"/>
      <c r="Q1093" s="35"/>
      <c r="R1093" s="19"/>
      <c r="S1093" s="557"/>
      <c r="T1093" s="2"/>
    </row>
    <row r="1094" spans="1:20" s="1" customFormat="1" ht="43.5" customHeight="1" x14ac:dyDescent="0.35">
      <c r="A1094" s="605"/>
      <c r="B1094" s="541"/>
      <c r="C1094" s="19" t="s">
        <v>23</v>
      </c>
      <c r="D1094" s="41" t="s">
        <v>108</v>
      </c>
      <c r="E1094" s="19" t="s">
        <v>18</v>
      </c>
      <c r="F1094" s="19">
        <v>100</v>
      </c>
      <c r="G1094" s="19">
        <v>100</v>
      </c>
      <c r="H1094" s="24">
        <f>IF(G1094/F1094*100&gt;100,100,G1094/F1094*100)</f>
        <v>100</v>
      </c>
      <c r="I1094" s="19"/>
      <c r="J1094" s="129"/>
      <c r="K1094" s="41"/>
      <c r="L1094" s="19"/>
      <c r="M1094" s="122"/>
      <c r="N1094" s="122"/>
      <c r="O1094" s="24"/>
      <c r="P1094" s="468"/>
      <c r="Q1094" s="35"/>
      <c r="R1094" s="19"/>
      <c r="S1094" s="557"/>
      <c r="T1094" s="2"/>
    </row>
    <row r="1095" spans="1:20" s="1" customFormat="1" ht="78.75" customHeight="1" x14ac:dyDescent="0.35">
      <c r="A1095" s="605"/>
      <c r="B1095" s="541"/>
      <c r="C1095" s="19" t="s">
        <v>109</v>
      </c>
      <c r="D1095" s="41" t="s">
        <v>17</v>
      </c>
      <c r="E1095" s="19" t="s">
        <v>18</v>
      </c>
      <c r="F1095" s="19">
        <v>90</v>
      </c>
      <c r="G1095" s="19">
        <v>100</v>
      </c>
      <c r="H1095" s="24">
        <f>IF(G1095/F1095*100&gt;100,100,G1095/F1095*100)</f>
        <v>100</v>
      </c>
      <c r="I1095" s="19"/>
      <c r="J1095" s="129"/>
      <c r="K1095" s="41"/>
      <c r="L1095" s="19"/>
      <c r="M1095" s="122"/>
      <c r="N1095" s="122"/>
      <c r="O1095" s="24"/>
      <c r="P1095" s="468"/>
      <c r="Q1095" s="35"/>
      <c r="R1095" s="19"/>
      <c r="S1095" s="557"/>
      <c r="T1095" s="2"/>
    </row>
    <row r="1096" spans="1:20" s="1" customFormat="1" ht="132.75" customHeight="1" x14ac:dyDescent="0.35">
      <c r="A1096" s="605"/>
      <c r="B1096" s="541"/>
      <c r="C1096" s="19" t="s">
        <v>110</v>
      </c>
      <c r="D1096" s="41" t="s">
        <v>111</v>
      </c>
      <c r="E1096" s="19" t="s">
        <v>18</v>
      </c>
      <c r="F1096" s="19">
        <v>100</v>
      </c>
      <c r="G1096" s="19">
        <v>100</v>
      </c>
      <c r="H1096" s="24">
        <f>IF(G1096/F1096*100&gt;100,100,G1096/F1096*100)</f>
        <v>100</v>
      </c>
      <c r="I1096" s="19"/>
      <c r="J1096" s="129"/>
      <c r="K1096" s="41"/>
      <c r="L1096" s="19"/>
      <c r="M1096" s="122"/>
      <c r="N1096" s="122"/>
      <c r="O1096" s="24"/>
      <c r="P1096" s="468"/>
      <c r="Q1096" s="35"/>
      <c r="R1096" s="19"/>
      <c r="S1096" s="557"/>
      <c r="T1096" s="2"/>
    </row>
    <row r="1097" spans="1:20" s="1" customFormat="1" ht="40.5" customHeight="1" x14ac:dyDescent="0.35">
      <c r="A1097" s="605"/>
      <c r="B1097" s="541"/>
      <c r="C1097" s="465"/>
      <c r="D1097" s="466" t="s">
        <v>644</v>
      </c>
      <c r="E1097" s="465"/>
      <c r="F1097" s="20"/>
      <c r="G1097" s="20"/>
      <c r="H1097" s="18"/>
      <c r="I1097" s="18">
        <f>(H1092+H1093+H1094+H1095+H1096)/5</f>
        <v>100</v>
      </c>
      <c r="J1097" s="128"/>
      <c r="K1097" s="466" t="s">
        <v>644</v>
      </c>
      <c r="L1097" s="20"/>
      <c r="M1097" s="124"/>
      <c r="N1097" s="124"/>
      <c r="O1097" s="18"/>
      <c r="P1097" s="18">
        <f>O1092</f>
        <v>99.04153354632588</v>
      </c>
      <c r="Q1097" s="18">
        <f>(I1097+P1097)/2</f>
        <v>99.520766773162933</v>
      </c>
      <c r="R1097" s="465" t="s">
        <v>112</v>
      </c>
      <c r="S1097" s="557"/>
      <c r="T1097" s="2"/>
    </row>
    <row r="1098" spans="1:20" s="217" customFormat="1" ht="72" customHeight="1" x14ac:dyDescent="0.35">
      <c r="A1098" s="605"/>
      <c r="B1098" s="541"/>
      <c r="C1098" s="454" t="s">
        <v>26</v>
      </c>
      <c r="D1098" s="59" t="s">
        <v>113</v>
      </c>
      <c r="E1098" s="19"/>
      <c r="F1098" s="19"/>
      <c r="G1098" s="19"/>
      <c r="H1098" s="35"/>
      <c r="I1098" s="35"/>
      <c r="J1098" s="454" t="s">
        <v>26</v>
      </c>
      <c r="K1098" s="59" t="s">
        <v>113</v>
      </c>
      <c r="L1098" s="19"/>
      <c r="M1098" s="122"/>
      <c r="N1098" s="122"/>
      <c r="O1098" s="35"/>
      <c r="P1098" s="67"/>
      <c r="Q1098" s="35"/>
      <c r="R1098" s="19"/>
      <c r="S1098" s="557"/>
      <c r="T1098" s="216"/>
    </row>
    <row r="1099" spans="1:20" s="217" customFormat="1" ht="67.5" customHeight="1" x14ac:dyDescent="0.35">
      <c r="A1099" s="605"/>
      <c r="B1099" s="541"/>
      <c r="C1099" s="19" t="s">
        <v>28</v>
      </c>
      <c r="D1099" s="41" t="s">
        <v>114</v>
      </c>
      <c r="E1099" s="19" t="s">
        <v>18</v>
      </c>
      <c r="F1099" s="19">
        <v>100</v>
      </c>
      <c r="G1099" s="19">
        <v>100</v>
      </c>
      <c r="H1099" s="24">
        <f>IF(G1099/F1099*100&gt;100,100,G1099/F1099*100)</f>
        <v>100</v>
      </c>
      <c r="I1099" s="19"/>
      <c r="J1099" s="129" t="s">
        <v>28</v>
      </c>
      <c r="K1099" s="41" t="s">
        <v>106</v>
      </c>
      <c r="L1099" s="19" t="s">
        <v>20</v>
      </c>
      <c r="M1099" s="19">
        <v>367</v>
      </c>
      <c r="N1099" s="19">
        <v>385</v>
      </c>
      <c r="O1099" s="24">
        <f>IF(N1099/M1099*100&gt;110,110,N1099/M1099*100)</f>
        <v>104.90463215258856</v>
      </c>
      <c r="P1099" s="19"/>
      <c r="Q1099" s="35"/>
      <c r="R1099" s="19"/>
      <c r="S1099" s="557"/>
      <c r="T1099" s="216"/>
    </row>
    <row r="1100" spans="1:20" s="217" customFormat="1" ht="34.5" customHeight="1" x14ac:dyDescent="0.35">
      <c r="A1100" s="605"/>
      <c r="B1100" s="541"/>
      <c r="C1100" s="19" t="s">
        <v>30</v>
      </c>
      <c r="D1100" s="41" t="s">
        <v>115</v>
      </c>
      <c r="E1100" s="19" t="s">
        <v>18</v>
      </c>
      <c r="F1100" s="19">
        <v>100</v>
      </c>
      <c r="G1100" s="19">
        <v>100</v>
      </c>
      <c r="H1100" s="24">
        <f>IF(G1100/F1100*100&gt;100,100,G1100/F1100*100)</f>
        <v>100</v>
      </c>
      <c r="I1100" s="19"/>
      <c r="J1100" s="129"/>
      <c r="K1100" s="41"/>
      <c r="L1100" s="19"/>
      <c r="M1100" s="122"/>
      <c r="N1100" s="122"/>
      <c r="O1100" s="24"/>
      <c r="P1100" s="67"/>
      <c r="Q1100" s="35"/>
      <c r="R1100" s="19"/>
      <c r="S1100" s="557"/>
      <c r="T1100" s="216"/>
    </row>
    <row r="1101" spans="1:20" s="217" customFormat="1" ht="57" customHeight="1" x14ac:dyDescent="0.35">
      <c r="A1101" s="605"/>
      <c r="B1101" s="541"/>
      <c r="C1101" s="19" t="s">
        <v>34</v>
      </c>
      <c r="D1101" s="41" t="s">
        <v>108</v>
      </c>
      <c r="E1101" s="19" t="s">
        <v>18</v>
      </c>
      <c r="F1101" s="19">
        <v>100</v>
      </c>
      <c r="G1101" s="19">
        <v>100</v>
      </c>
      <c r="H1101" s="24">
        <f>IF(G1101/F1101*100&gt;100,100,G1101/F1101*100)</f>
        <v>100</v>
      </c>
      <c r="I1101" s="19"/>
      <c r="J1101" s="129"/>
      <c r="K1101" s="41"/>
      <c r="L1101" s="19"/>
      <c r="M1101" s="122"/>
      <c r="N1101" s="122"/>
      <c r="O1101" s="24"/>
      <c r="P1101" s="67"/>
      <c r="Q1101" s="35"/>
      <c r="R1101" s="19"/>
      <c r="S1101" s="557"/>
      <c r="T1101" s="216"/>
    </row>
    <row r="1102" spans="1:20" s="217" customFormat="1" ht="71.25" customHeight="1" x14ac:dyDescent="0.35">
      <c r="A1102" s="605"/>
      <c r="B1102" s="541"/>
      <c r="C1102" s="19" t="s">
        <v>78</v>
      </c>
      <c r="D1102" s="41" t="s">
        <v>17</v>
      </c>
      <c r="E1102" s="19" t="s">
        <v>18</v>
      </c>
      <c r="F1102" s="19">
        <v>90</v>
      </c>
      <c r="G1102" s="19">
        <v>100</v>
      </c>
      <c r="H1102" s="24">
        <f>IF(G1102/F1102*100&gt;100,100,G1102/F1102*100)</f>
        <v>100</v>
      </c>
      <c r="I1102" s="19"/>
      <c r="J1102" s="129"/>
      <c r="K1102" s="41"/>
      <c r="L1102" s="19"/>
      <c r="M1102" s="122"/>
      <c r="N1102" s="122"/>
      <c r="O1102" s="24"/>
      <c r="P1102" s="67"/>
      <c r="Q1102" s="35"/>
      <c r="R1102" s="19"/>
      <c r="S1102" s="557"/>
      <c r="T1102" s="216"/>
    </row>
    <row r="1103" spans="1:20" s="217" customFormat="1" ht="129.75" customHeight="1" x14ac:dyDescent="0.35">
      <c r="A1103" s="605"/>
      <c r="B1103" s="541"/>
      <c r="C1103" s="19" t="s">
        <v>79</v>
      </c>
      <c r="D1103" s="41" t="s">
        <v>111</v>
      </c>
      <c r="E1103" s="19" t="s">
        <v>18</v>
      </c>
      <c r="F1103" s="19">
        <v>100</v>
      </c>
      <c r="G1103" s="19">
        <v>100</v>
      </c>
      <c r="H1103" s="24">
        <f>IF(G1103/F1103*100&gt;100,100,G1103/F1103*100)</f>
        <v>100</v>
      </c>
      <c r="I1103" s="19"/>
      <c r="J1103" s="129"/>
      <c r="K1103" s="41"/>
      <c r="L1103" s="19"/>
      <c r="M1103" s="122"/>
      <c r="N1103" s="122"/>
      <c r="O1103" s="24"/>
      <c r="P1103" s="67"/>
      <c r="Q1103" s="35"/>
      <c r="R1103" s="19"/>
      <c r="S1103" s="557"/>
      <c r="T1103" s="216"/>
    </row>
    <row r="1104" spans="1:20" s="1" customFormat="1" ht="40.5" customHeight="1" x14ac:dyDescent="0.35">
      <c r="A1104" s="605"/>
      <c r="B1104" s="541"/>
      <c r="C1104" s="465"/>
      <c r="D1104" s="466" t="s">
        <v>644</v>
      </c>
      <c r="E1104" s="465"/>
      <c r="F1104" s="20"/>
      <c r="G1104" s="20"/>
      <c r="H1104" s="18"/>
      <c r="I1104" s="18">
        <f>(H1099+H1100+H1101+H1102+H1103)/5</f>
        <v>100</v>
      </c>
      <c r="J1104" s="128"/>
      <c r="K1104" s="466" t="s">
        <v>644</v>
      </c>
      <c r="L1104" s="20"/>
      <c r="M1104" s="124"/>
      <c r="N1104" s="124"/>
      <c r="O1104" s="18"/>
      <c r="P1104" s="18">
        <f>O1099</f>
        <v>104.90463215258856</v>
      </c>
      <c r="Q1104" s="18">
        <f>(I1104+P1104)/2</f>
        <v>102.45231607629428</v>
      </c>
      <c r="R1104" s="465" t="s">
        <v>25</v>
      </c>
      <c r="S1104" s="557"/>
      <c r="T1104" s="2"/>
    </row>
    <row r="1105" spans="1:20" s="1" customFormat="1" ht="75" customHeight="1" x14ac:dyDescent="0.35">
      <c r="A1105" s="605"/>
      <c r="B1105" s="541"/>
      <c r="C1105" s="454" t="s">
        <v>36</v>
      </c>
      <c r="D1105" s="59" t="s">
        <v>116</v>
      </c>
      <c r="E1105" s="19"/>
      <c r="F1105" s="19"/>
      <c r="G1105" s="19"/>
      <c r="H1105" s="35"/>
      <c r="I1105" s="35"/>
      <c r="J1105" s="454" t="s">
        <v>36</v>
      </c>
      <c r="K1105" s="59" t="str">
        <f>D1105</f>
        <v>Реализация основных общеобразовательных программ среднего общего образования</v>
      </c>
      <c r="L1105" s="19"/>
      <c r="M1105" s="122"/>
      <c r="N1105" s="122"/>
      <c r="O1105" s="35"/>
      <c r="P1105" s="468"/>
      <c r="Q1105" s="35"/>
      <c r="R1105" s="19"/>
      <c r="S1105" s="557"/>
      <c r="T1105" s="2"/>
    </row>
    <row r="1106" spans="1:20" s="1" customFormat="1" ht="75.75" customHeight="1" x14ac:dyDescent="0.35">
      <c r="A1106" s="605"/>
      <c r="B1106" s="541"/>
      <c r="C1106" s="19" t="s">
        <v>38</v>
      </c>
      <c r="D1106" s="41" t="s">
        <v>117</v>
      </c>
      <c r="E1106" s="19" t="s">
        <v>18</v>
      </c>
      <c r="F1106" s="19">
        <v>100</v>
      </c>
      <c r="G1106" s="19">
        <v>100</v>
      </c>
      <c r="H1106" s="24">
        <f>IF(G1106/F1106*100&gt;100,100,G1106/F1106*100)</f>
        <v>100</v>
      </c>
      <c r="I1106" s="19"/>
      <c r="J1106" s="129" t="s">
        <v>38</v>
      </c>
      <c r="K1106" s="41" t="s">
        <v>106</v>
      </c>
      <c r="L1106" s="19" t="s">
        <v>20</v>
      </c>
      <c r="M1106" s="19">
        <v>39</v>
      </c>
      <c r="N1106" s="19">
        <v>41</v>
      </c>
      <c r="O1106" s="24">
        <f>IF(N1106/M1106*100&gt;110,110,N1106/M1106*100)</f>
        <v>105.12820512820514</v>
      </c>
      <c r="P1106" s="19"/>
      <c r="Q1106" s="35"/>
      <c r="R1106" s="19"/>
      <c r="S1106" s="557"/>
      <c r="T1106" s="2"/>
    </row>
    <row r="1107" spans="1:20" s="1" customFormat="1" ht="34.5" customHeight="1" x14ac:dyDescent="0.35">
      <c r="A1107" s="605"/>
      <c r="B1107" s="541"/>
      <c r="C1107" s="19" t="s">
        <v>118</v>
      </c>
      <c r="D1107" s="41" t="s">
        <v>119</v>
      </c>
      <c r="E1107" s="19" t="s">
        <v>18</v>
      </c>
      <c r="F1107" s="19">
        <v>100</v>
      </c>
      <c r="G1107" s="19">
        <v>100</v>
      </c>
      <c r="H1107" s="24">
        <f>IF(G1107/F1107*100&gt;100,100,G1107/F1107*100)</f>
        <v>100</v>
      </c>
      <c r="I1107" s="19"/>
      <c r="J1107" s="129"/>
      <c r="K1107" s="41"/>
      <c r="L1107" s="19"/>
      <c r="M1107" s="122"/>
      <c r="N1107" s="122"/>
      <c r="O1107" s="24"/>
      <c r="P1107" s="468"/>
      <c r="Q1107" s="35"/>
      <c r="R1107" s="19"/>
      <c r="S1107" s="557"/>
      <c r="T1107" s="2"/>
    </row>
    <row r="1108" spans="1:20" s="1" customFormat="1" ht="40.5" customHeight="1" x14ac:dyDescent="0.35">
      <c r="A1108" s="605"/>
      <c r="B1108" s="541"/>
      <c r="C1108" s="19" t="s">
        <v>120</v>
      </c>
      <c r="D1108" s="41" t="s">
        <v>108</v>
      </c>
      <c r="E1108" s="19" t="s">
        <v>18</v>
      </c>
      <c r="F1108" s="19">
        <v>100</v>
      </c>
      <c r="G1108" s="19">
        <v>100</v>
      </c>
      <c r="H1108" s="24">
        <f>IF(G1108/F1108*100&gt;100,100,G1108/F1108*100)</f>
        <v>100</v>
      </c>
      <c r="I1108" s="19"/>
      <c r="J1108" s="129"/>
      <c r="K1108" s="41"/>
      <c r="L1108" s="19"/>
      <c r="M1108" s="122"/>
      <c r="N1108" s="122"/>
      <c r="O1108" s="24"/>
      <c r="P1108" s="468"/>
      <c r="Q1108" s="35"/>
      <c r="R1108" s="19"/>
      <c r="S1108" s="557"/>
      <c r="T1108" s="2"/>
    </row>
    <row r="1109" spans="1:20" s="1" customFormat="1" ht="75.75" customHeight="1" x14ac:dyDescent="0.35">
      <c r="A1109" s="605"/>
      <c r="B1109" s="541"/>
      <c r="C1109" s="19" t="s">
        <v>121</v>
      </c>
      <c r="D1109" s="41" t="s">
        <v>17</v>
      </c>
      <c r="E1109" s="19" t="s">
        <v>18</v>
      </c>
      <c r="F1109" s="19">
        <v>90</v>
      </c>
      <c r="G1109" s="19">
        <v>100</v>
      </c>
      <c r="H1109" s="24">
        <f>IF(G1109/F1109*100&gt;100,100,G1109/F1109*100)</f>
        <v>100</v>
      </c>
      <c r="I1109" s="19"/>
      <c r="J1109" s="129"/>
      <c r="K1109" s="41"/>
      <c r="L1109" s="19"/>
      <c r="M1109" s="122"/>
      <c r="N1109" s="122"/>
      <c r="O1109" s="24"/>
      <c r="P1109" s="468"/>
      <c r="Q1109" s="35"/>
      <c r="R1109" s="19"/>
      <c r="S1109" s="557"/>
      <c r="T1109" s="2"/>
    </row>
    <row r="1110" spans="1:20" s="1" customFormat="1" ht="125.25" customHeight="1" x14ac:dyDescent="0.35">
      <c r="A1110" s="605"/>
      <c r="B1110" s="541"/>
      <c r="C1110" s="19" t="s">
        <v>122</v>
      </c>
      <c r="D1110" s="41" t="s">
        <v>111</v>
      </c>
      <c r="E1110" s="19" t="s">
        <v>18</v>
      </c>
      <c r="F1110" s="19">
        <v>100</v>
      </c>
      <c r="G1110" s="19">
        <v>100</v>
      </c>
      <c r="H1110" s="24">
        <f>IF(G1110/F1110*100&gt;100,100,G1110/F1110*100)</f>
        <v>100</v>
      </c>
      <c r="I1110" s="19"/>
      <c r="J1110" s="129"/>
      <c r="K1110" s="41"/>
      <c r="L1110" s="19"/>
      <c r="M1110" s="122"/>
      <c r="N1110" s="122"/>
      <c r="O1110" s="24"/>
      <c r="P1110" s="468"/>
      <c r="Q1110" s="35"/>
      <c r="R1110" s="19"/>
      <c r="S1110" s="557"/>
      <c r="T1110" s="2"/>
    </row>
    <row r="1111" spans="1:20" s="1" customFormat="1" ht="40.5" customHeight="1" x14ac:dyDescent="0.35">
      <c r="A1111" s="605"/>
      <c r="B1111" s="541"/>
      <c r="C1111" s="465"/>
      <c r="D1111" s="466" t="s">
        <v>644</v>
      </c>
      <c r="E1111" s="465"/>
      <c r="F1111" s="20"/>
      <c r="G1111" s="20"/>
      <c r="H1111" s="18"/>
      <c r="I1111" s="18">
        <f>(H1106+H1107+H1108+H1109+H1110)/5</f>
        <v>100</v>
      </c>
      <c r="J1111" s="128"/>
      <c r="K1111" s="466" t="s">
        <v>644</v>
      </c>
      <c r="L1111" s="20"/>
      <c r="M1111" s="124"/>
      <c r="N1111" s="124"/>
      <c r="O1111" s="18"/>
      <c r="P1111" s="18">
        <f>O1106</f>
        <v>105.12820512820514</v>
      </c>
      <c r="Q1111" s="18">
        <f>(I1111+P1111)/2</f>
        <v>102.56410256410257</v>
      </c>
      <c r="R1111" s="465" t="s">
        <v>25</v>
      </c>
      <c r="S1111" s="557"/>
      <c r="T1111" s="2"/>
    </row>
    <row r="1112" spans="1:20" s="1" customFormat="1" ht="33" customHeight="1" x14ac:dyDescent="0.35">
      <c r="A1112" s="605"/>
      <c r="B1112" s="541"/>
      <c r="C1112" s="454" t="s">
        <v>123</v>
      </c>
      <c r="D1112" s="59" t="s">
        <v>27</v>
      </c>
      <c r="E1112" s="19"/>
      <c r="F1112" s="19"/>
      <c r="G1112" s="19"/>
      <c r="H1112" s="35"/>
      <c r="I1112" s="35"/>
      <c r="J1112" s="454" t="s">
        <v>123</v>
      </c>
      <c r="K1112" s="59" t="s">
        <v>27</v>
      </c>
      <c r="L1112" s="19"/>
      <c r="M1112" s="122"/>
      <c r="N1112" s="122"/>
      <c r="O1112" s="35"/>
      <c r="P1112" s="468"/>
      <c r="Q1112" s="35"/>
      <c r="R1112" s="19"/>
      <c r="S1112" s="557"/>
      <c r="T1112" s="2"/>
    </row>
    <row r="1113" spans="1:20" s="1" customFormat="1" ht="54.75" customHeight="1" x14ac:dyDescent="0.35">
      <c r="A1113" s="605"/>
      <c r="B1113" s="541"/>
      <c r="C1113" s="19" t="s">
        <v>124</v>
      </c>
      <c r="D1113" s="41" t="s">
        <v>125</v>
      </c>
      <c r="E1113" s="19" t="s">
        <v>18</v>
      </c>
      <c r="F1113" s="19">
        <v>100</v>
      </c>
      <c r="G1113" s="19">
        <v>100</v>
      </c>
      <c r="H1113" s="24">
        <f>IF(G1113/F1113*100&gt;100,100,G1113/F1113*100)</f>
        <v>100</v>
      </c>
      <c r="I1113" s="19"/>
      <c r="J1113" s="129" t="s">
        <v>124</v>
      </c>
      <c r="K1113" s="41" t="s">
        <v>106</v>
      </c>
      <c r="L1113" s="19" t="s">
        <v>20</v>
      </c>
      <c r="M1113" s="19">
        <v>125</v>
      </c>
      <c r="N1113" s="19">
        <v>125</v>
      </c>
      <c r="O1113" s="24">
        <f>IF(N1113/M1113*100&gt;110,110,N1113/M1113*100)</f>
        <v>100</v>
      </c>
      <c r="P1113" s="468"/>
      <c r="Q1113" s="35"/>
      <c r="R1113" s="19"/>
      <c r="S1113" s="557"/>
      <c r="T1113" s="2"/>
    </row>
    <row r="1114" spans="1:20" s="1" customFormat="1" ht="84" customHeight="1" x14ac:dyDescent="0.35">
      <c r="A1114" s="605"/>
      <c r="B1114" s="541"/>
      <c r="C1114" s="19" t="s">
        <v>127</v>
      </c>
      <c r="D1114" s="41" t="s">
        <v>128</v>
      </c>
      <c r="E1114" s="19" t="s">
        <v>18</v>
      </c>
      <c r="F1114" s="19">
        <v>90</v>
      </c>
      <c r="G1114" s="19">
        <v>90</v>
      </c>
      <c r="H1114" s="24">
        <f>IF(G1114/F1114*100&gt;100,100,G1114/F1114*100)</f>
        <v>100</v>
      </c>
      <c r="I1114" s="19"/>
      <c r="J1114" s="129"/>
      <c r="K1114" s="41"/>
      <c r="L1114" s="19"/>
      <c r="M1114" s="122"/>
      <c r="N1114" s="122"/>
      <c r="O1114" s="24"/>
      <c r="P1114" s="468"/>
      <c r="Q1114" s="35"/>
      <c r="R1114" s="19"/>
      <c r="S1114" s="557"/>
      <c r="T1114" s="2"/>
    </row>
    <row r="1115" spans="1:20" s="1" customFormat="1" ht="46.5" customHeight="1" x14ac:dyDescent="0.35">
      <c r="A1115" s="605"/>
      <c r="B1115" s="541"/>
      <c r="C1115" s="465"/>
      <c r="D1115" s="466" t="s">
        <v>644</v>
      </c>
      <c r="E1115" s="465"/>
      <c r="F1115" s="20"/>
      <c r="G1115" s="20"/>
      <c r="H1115" s="18"/>
      <c r="I1115" s="18">
        <f>(H1113+H1114)/2</f>
        <v>100</v>
      </c>
      <c r="J1115" s="128"/>
      <c r="K1115" s="466" t="s">
        <v>644</v>
      </c>
      <c r="L1115" s="20"/>
      <c r="M1115" s="124"/>
      <c r="N1115" s="124"/>
      <c r="O1115" s="18"/>
      <c r="P1115" s="18">
        <f>O1113</f>
        <v>100</v>
      </c>
      <c r="Q1115" s="18">
        <f>(I1115+P1115)/2</f>
        <v>100</v>
      </c>
      <c r="R1115" s="465" t="s">
        <v>25</v>
      </c>
      <c r="S1115" s="557"/>
      <c r="T1115" s="2"/>
    </row>
    <row r="1116" spans="1:20" s="1" customFormat="1" ht="63" customHeight="1" x14ac:dyDescent="0.35">
      <c r="A1116" s="605"/>
      <c r="B1116" s="541"/>
      <c r="C1116" s="454" t="s">
        <v>129</v>
      </c>
      <c r="D1116" s="59" t="s">
        <v>130</v>
      </c>
      <c r="E1116" s="19"/>
      <c r="F1116" s="19"/>
      <c r="G1116" s="19"/>
      <c r="H1116" s="35"/>
      <c r="I1116" s="35"/>
      <c r="J1116" s="454" t="s">
        <v>129</v>
      </c>
      <c r="K1116" s="59" t="str">
        <f>D1116</f>
        <v>Реализация дополнительных общеразвивающих программ</v>
      </c>
      <c r="L1116" s="19"/>
      <c r="M1116" s="122"/>
      <c r="N1116" s="122"/>
      <c r="O1116" s="35"/>
      <c r="P1116" s="468"/>
      <c r="Q1116" s="35"/>
      <c r="R1116" s="19"/>
      <c r="S1116" s="557"/>
      <c r="T1116" s="2"/>
    </row>
    <row r="1117" spans="1:20" s="1" customFormat="1" ht="87.75" customHeight="1" x14ac:dyDescent="0.35">
      <c r="A1117" s="605"/>
      <c r="B1117" s="541"/>
      <c r="C1117" s="19" t="s">
        <v>131</v>
      </c>
      <c r="D1117" s="41" t="s">
        <v>128</v>
      </c>
      <c r="E1117" s="19" t="s">
        <v>18</v>
      </c>
      <c r="F1117" s="19">
        <v>90</v>
      </c>
      <c r="G1117" s="19">
        <v>90</v>
      </c>
      <c r="H1117" s="24">
        <f>IF(G1117/F1117*100&gt;100,100,G1117/F1117*100)</f>
        <v>100</v>
      </c>
      <c r="I1117" s="19"/>
      <c r="J1117" s="129" t="s">
        <v>131</v>
      </c>
      <c r="K1117" s="41" t="s">
        <v>136</v>
      </c>
      <c r="L1117" s="19" t="s">
        <v>139</v>
      </c>
      <c r="M1117" s="19">
        <v>46162</v>
      </c>
      <c r="N1117" s="19">
        <v>46162</v>
      </c>
      <c r="O1117" s="24">
        <f>IF(N1117/M1117*100&gt;110,110,N1117/M1117*100)</f>
        <v>100</v>
      </c>
      <c r="P1117" s="468"/>
      <c r="Q1117" s="35"/>
      <c r="R1117" s="19"/>
      <c r="S1117" s="557"/>
      <c r="T1117" s="2"/>
    </row>
    <row r="1118" spans="1:20" s="1" customFormat="1" ht="41.25" customHeight="1" x14ac:dyDescent="0.35">
      <c r="A1118" s="605"/>
      <c r="B1118" s="541"/>
      <c r="C1118" s="465"/>
      <c r="D1118" s="466" t="s">
        <v>644</v>
      </c>
      <c r="E1118" s="465"/>
      <c r="F1118" s="20"/>
      <c r="G1118" s="20"/>
      <c r="H1118" s="18"/>
      <c r="I1118" s="18">
        <f>H1117</f>
        <v>100</v>
      </c>
      <c r="J1118" s="128"/>
      <c r="K1118" s="466" t="s">
        <v>644</v>
      </c>
      <c r="L1118" s="20"/>
      <c r="M1118" s="124"/>
      <c r="N1118" s="124"/>
      <c r="O1118" s="18"/>
      <c r="P1118" s="18">
        <f>O1117</f>
        <v>100</v>
      </c>
      <c r="Q1118" s="18">
        <f>(I1118+P1118)/2</f>
        <v>100</v>
      </c>
      <c r="R1118" s="465" t="s">
        <v>25</v>
      </c>
      <c r="S1118" s="557"/>
      <c r="T1118" s="2"/>
    </row>
    <row r="1119" spans="1:20" s="1" customFormat="1" ht="86.25" customHeight="1" x14ac:dyDescent="0.35">
      <c r="A1119" s="605">
        <v>56</v>
      </c>
      <c r="B1119" s="541" t="s">
        <v>174</v>
      </c>
      <c r="C1119" s="454" t="s">
        <v>13</v>
      </c>
      <c r="D1119" s="59" t="s">
        <v>103</v>
      </c>
      <c r="E1119" s="454"/>
      <c r="F1119" s="454"/>
      <c r="G1119" s="454"/>
      <c r="H1119" s="35"/>
      <c r="I1119" s="35"/>
      <c r="J1119" s="454" t="s">
        <v>13</v>
      </c>
      <c r="K1119" s="59" t="s">
        <v>103</v>
      </c>
      <c r="L1119" s="19"/>
      <c r="M1119" s="19"/>
      <c r="N1119" s="19"/>
      <c r="O1119" s="35"/>
      <c r="P1119" s="468"/>
      <c r="Q1119" s="35"/>
      <c r="R1119" s="19"/>
      <c r="S1119" s="557" t="s">
        <v>104</v>
      </c>
      <c r="T1119" s="2"/>
    </row>
    <row r="1120" spans="1:20" s="1" customFormat="1" ht="65.25" customHeight="1" x14ac:dyDescent="0.35">
      <c r="A1120" s="605"/>
      <c r="B1120" s="541"/>
      <c r="C1120" s="19" t="s">
        <v>16</v>
      </c>
      <c r="D1120" s="41" t="s">
        <v>105</v>
      </c>
      <c r="E1120" s="19" t="s">
        <v>18</v>
      </c>
      <c r="F1120" s="19">
        <v>100</v>
      </c>
      <c r="G1120" s="19">
        <v>100</v>
      </c>
      <c r="H1120" s="24">
        <f>IF(G1120/F1120*100&gt;100,100,G1120/F1120*100)</f>
        <v>100</v>
      </c>
      <c r="I1120" s="19"/>
      <c r="J1120" s="19" t="s">
        <v>16</v>
      </c>
      <c r="K1120" s="41" t="s">
        <v>106</v>
      </c>
      <c r="L1120" s="19" t="s">
        <v>20</v>
      </c>
      <c r="M1120" s="19">
        <v>228</v>
      </c>
      <c r="N1120" s="19">
        <v>226</v>
      </c>
      <c r="O1120" s="24">
        <f>IF(N1120/M1120*100&gt;110,110,N1120/M1120*100)</f>
        <v>99.122807017543863</v>
      </c>
      <c r="P1120" s="468"/>
      <c r="Q1120" s="35"/>
      <c r="R1120" s="19"/>
      <c r="S1120" s="557"/>
      <c r="T1120" s="2"/>
    </row>
    <row r="1121" spans="1:20" s="1" customFormat="1" ht="65.25" customHeight="1" x14ac:dyDescent="0.35">
      <c r="A1121" s="605"/>
      <c r="B1121" s="541"/>
      <c r="C1121" s="19" t="s">
        <v>21</v>
      </c>
      <c r="D1121" s="41" t="s">
        <v>135</v>
      </c>
      <c r="E1121" s="19" t="s">
        <v>18</v>
      </c>
      <c r="F1121" s="19">
        <v>100</v>
      </c>
      <c r="G1121" s="19">
        <v>100</v>
      </c>
      <c r="H1121" s="24">
        <f>IF(G1121/F1121*100&gt;100,100,G1121/F1121*100)</f>
        <v>100</v>
      </c>
      <c r="I1121" s="19"/>
      <c r="J1121" s="19"/>
      <c r="K1121" s="455"/>
      <c r="L1121" s="19"/>
      <c r="M1121" s="476"/>
      <c r="N1121" s="476"/>
      <c r="O1121" s="24"/>
      <c r="P1121" s="468"/>
      <c r="Q1121" s="35"/>
      <c r="R1121" s="19"/>
      <c r="S1121" s="557"/>
      <c r="T1121" s="2"/>
    </row>
    <row r="1122" spans="1:20" s="1" customFormat="1" ht="65.25" customHeight="1" x14ac:dyDescent="0.35">
      <c r="A1122" s="605"/>
      <c r="B1122" s="541"/>
      <c r="C1122" s="19" t="s">
        <v>23</v>
      </c>
      <c r="D1122" s="41" t="s">
        <v>108</v>
      </c>
      <c r="E1122" s="19" t="s">
        <v>18</v>
      </c>
      <c r="F1122" s="19">
        <v>100</v>
      </c>
      <c r="G1122" s="19">
        <v>100</v>
      </c>
      <c r="H1122" s="24">
        <f>IF(G1122/F1122*100&gt;100,100,G1122/F1122*100)</f>
        <v>100</v>
      </c>
      <c r="I1122" s="19"/>
      <c r="J1122" s="129"/>
      <c r="K1122" s="41"/>
      <c r="L1122" s="19"/>
      <c r="M1122" s="122"/>
      <c r="N1122" s="122"/>
      <c r="O1122" s="24"/>
      <c r="P1122" s="468"/>
      <c r="Q1122" s="35"/>
      <c r="R1122" s="19"/>
      <c r="S1122" s="557"/>
      <c r="T1122" s="2"/>
    </row>
    <row r="1123" spans="1:20" s="1" customFormat="1" ht="78.75" customHeight="1" x14ac:dyDescent="0.35">
      <c r="A1123" s="605"/>
      <c r="B1123" s="541"/>
      <c r="C1123" s="19" t="s">
        <v>109</v>
      </c>
      <c r="D1123" s="41" t="s">
        <v>17</v>
      </c>
      <c r="E1123" s="19" t="s">
        <v>18</v>
      </c>
      <c r="F1123" s="19">
        <v>90</v>
      </c>
      <c r="G1123" s="19">
        <v>90</v>
      </c>
      <c r="H1123" s="24">
        <f>IF(G1123/F1123*100&gt;100,100,G1123/F1123*100)</f>
        <v>100</v>
      </c>
      <c r="I1123" s="19"/>
      <c r="J1123" s="129"/>
      <c r="K1123" s="41"/>
      <c r="L1123" s="19"/>
      <c r="M1123" s="122"/>
      <c r="N1123" s="122"/>
      <c r="O1123" s="24"/>
      <c r="P1123" s="468"/>
      <c r="Q1123" s="35"/>
      <c r="R1123" s="19"/>
      <c r="S1123" s="557"/>
      <c r="T1123" s="2"/>
    </row>
    <row r="1124" spans="1:20" s="1" customFormat="1" ht="113.25" customHeight="1" x14ac:dyDescent="0.35">
      <c r="A1124" s="605"/>
      <c r="B1124" s="541"/>
      <c r="C1124" s="19" t="s">
        <v>110</v>
      </c>
      <c r="D1124" s="41" t="s">
        <v>111</v>
      </c>
      <c r="E1124" s="19" t="s">
        <v>18</v>
      </c>
      <c r="F1124" s="19">
        <v>100</v>
      </c>
      <c r="G1124" s="19">
        <v>100</v>
      </c>
      <c r="H1124" s="24">
        <f>IF(G1124/F1124*100&gt;100,100,G1124/F1124*100)</f>
        <v>100</v>
      </c>
      <c r="I1124" s="19"/>
      <c r="J1124" s="129"/>
      <c r="K1124" s="41"/>
      <c r="L1124" s="19"/>
      <c r="M1124" s="122"/>
      <c r="N1124" s="122"/>
      <c r="O1124" s="24"/>
      <c r="P1124" s="468"/>
      <c r="Q1124" s="35"/>
      <c r="R1124" s="19"/>
      <c r="S1124" s="557"/>
      <c r="T1124" s="2"/>
    </row>
    <row r="1125" spans="1:20" s="1" customFormat="1" ht="40.5" customHeight="1" x14ac:dyDescent="0.35">
      <c r="A1125" s="605"/>
      <c r="B1125" s="541"/>
      <c r="C1125" s="465"/>
      <c r="D1125" s="466" t="s">
        <v>644</v>
      </c>
      <c r="E1125" s="465"/>
      <c r="F1125" s="20"/>
      <c r="G1125" s="20"/>
      <c r="H1125" s="18"/>
      <c r="I1125" s="18">
        <f>(H1120+H1121+H1122+H1123+H1124)/5</f>
        <v>100</v>
      </c>
      <c r="J1125" s="128"/>
      <c r="K1125" s="466" t="s">
        <v>644</v>
      </c>
      <c r="L1125" s="20"/>
      <c r="M1125" s="124"/>
      <c r="N1125" s="124"/>
      <c r="O1125" s="18"/>
      <c r="P1125" s="18">
        <f>O1120</f>
        <v>99.122807017543863</v>
      </c>
      <c r="Q1125" s="18">
        <f>(I1125+P1125)/2</f>
        <v>99.561403508771932</v>
      </c>
      <c r="R1125" s="465" t="s">
        <v>112</v>
      </c>
      <c r="S1125" s="557"/>
      <c r="T1125" s="2"/>
    </row>
    <row r="1126" spans="1:20" s="1" customFormat="1" ht="72.75" customHeight="1" x14ac:dyDescent="0.35">
      <c r="A1126" s="605"/>
      <c r="B1126" s="541"/>
      <c r="C1126" s="454" t="s">
        <v>26</v>
      </c>
      <c r="D1126" s="59" t="s">
        <v>113</v>
      </c>
      <c r="E1126" s="19"/>
      <c r="F1126" s="19"/>
      <c r="G1126" s="19"/>
      <c r="H1126" s="35"/>
      <c r="I1126" s="35"/>
      <c r="J1126" s="454" t="s">
        <v>26</v>
      </c>
      <c r="K1126" s="59" t="s">
        <v>113</v>
      </c>
      <c r="L1126" s="19"/>
      <c r="M1126" s="122"/>
      <c r="N1126" s="122"/>
      <c r="O1126" s="35"/>
      <c r="P1126" s="468"/>
      <c r="Q1126" s="35"/>
      <c r="R1126" s="19"/>
      <c r="S1126" s="557"/>
      <c r="T1126" s="2"/>
    </row>
    <row r="1127" spans="1:20" s="1" customFormat="1" ht="69.75" customHeight="1" x14ac:dyDescent="0.35">
      <c r="A1127" s="605"/>
      <c r="B1127" s="541"/>
      <c r="C1127" s="19" t="s">
        <v>28</v>
      </c>
      <c r="D1127" s="41" t="s">
        <v>114</v>
      </c>
      <c r="E1127" s="19" t="s">
        <v>18</v>
      </c>
      <c r="F1127" s="19">
        <v>100</v>
      </c>
      <c r="G1127" s="19">
        <v>100</v>
      </c>
      <c r="H1127" s="24">
        <f>IF(G1127/F1127*100&gt;100,100,G1127/F1127*100)</f>
        <v>100</v>
      </c>
      <c r="I1127" s="19"/>
      <c r="J1127" s="129" t="s">
        <v>28</v>
      </c>
      <c r="K1127" s="41" t="s">
        <v>106</v>
      </c>
      <c r="L1127" s="19" t="s">
        <v>20</v>
      </c>
      <c r="M1127" s="19">
        <v>297</v>
      </c>
      <c r="N1127" s="19">
        <v>294</v>
      </c>
      <c r="O1127" s="24">
        <f>IF(N1127/M1127*100&gt;110,110,N1127/M1127*100)</f>
        <v>98.98989898989899</v>
      </c>
      <c r="P1127" s="19"/>
      <c r="Q1127" s="35"/>
      <c r="R1127" s="19"/>
      <c r="S1127" s="557"/>
      <c r="T1127" s="2"/>
    </row>
    <row r="1128" spans="1:20" s="1" customFormat="1" x14ac:dyDescent="0.35">
      <c r="A1128" s="605"/>
      <c r="B1128" s="541"/>
      <c r="C1128" s="19" t="s">
        <v>30</v>
      </c>
      <c r="D1128" s="41" t="s">
        <v>115</v>
      </c>
      <c r="E1128" s="19" t="s">
        <v>18</v>
      </c>
      <c r="F1128" s="19">
        <v>100</v>
      </c>
      <c r="G1128" s="19">
        <v>100</v>
      </c>
      <c r="H1128" s="24">
        <f>IF(G1128/F1128*100&gt;100,100,G1128/F1128*100)</f>
        <v>100</v>
      </c>
      <c r="I1128" s="19"/>
      <c r="J1128" s="129"/>
      <c r="K1128" s="41"/>
      <c r="L1128" s="19"/>
      <c r="M1128" s="122"/>
      <c r="N1128" s="122"/>
      <c r="O1128" s="24"/>
      <c r="P1128" s="468"/>
      <c r="Q1128" s="35"/>
      <c r="R1128" s="19"/>
      <c r="S1128" s="557"/>
      <c r="T1128" s="2"/>
    </row>
    <row r="1129" spans="1:20" s="1" customFormat="1" ht="60" customHeight="1" x14ac:dyDescent="0.35">
      <c r="A1129" s="605"/>
      <c r="B1129" s="541"/>
      <c r="C1129" s="19" t="s">
        <v>34</v>
      </c>
      <c r="D1129" s="41" t="s">
        <v>108</v>
      </c>
      <c r="E1129" s="19" t="s">
        <v>18</v>
      </c>
      <c r="F1129" s="19">
        <v>100</v>
      </c>
      <c r="G1129" s="19">
        <v>100</v>
      </c>
      <c r="H1129" s="24">
        <f>IF(G1129/F1129*100&gt;100,100,G1129/F1129*100)</f>
        <v>100</v>
      </c>
      <c r="I1129" s="19"/>
      <c r="J1129" s="129"/>
      <c r="K1129" s="41"/>
      <c r="L1129" s="19"/>
      <c r="M1129" s="122"/>
      <c r="N1129" s="122"/>
      <c r="O1129" s="24"/>
      <c r="P1129" s="468"/>
      <c r="Q1129" s="35"/>
      <c r="R1129" s="19"/>
      <c r="S1129" s="557"/>
      <c r="T1129" s="2"/>
    </row>
    <row r="1130" spans="1:20" s="1" customFormat="1" ht="70.5" customHeight="1" x14ac:dyDescent="0.35">
      <c r="A1130" s="605"/>
      <c r="B1130" s="541"/>
      <c r="C1130" s="19" t="s">
        <v>78</v>
      </c>
      <c r="D1130" s="41" t="s">
        <v>17</v>
      </c>
      <c r="E1130" s="19" t="s">
        <v>18</v>
      </c>
      <c r="F1130" s="19">
        <v>90</v>
      </c>
      <c r="G1130" s="19">
        <v>90</v>
      </c>
      <c r="H1130" s="24">
        <f>IF(G1130/F1130*100&gt;100,100,G1130/F1130*100)</f>
        <v>100</v>
      </c>
      <c r="I1130" s="19"/>
      <c r="J1130" s="129"/>
      <c r="K1130" s="41"/>
      <c r="L1130" s="19"/>
      <c r="M1130" s="122"/>
      <c r="N1130" s="122"/>
      <c r="O1130" s="24"/>
      <c r="P1130" s="468"/>
      <c r="Q1130" s="35"/>
      <c r="R1130" s="19"/>
      <c r="S1130" s="557"/>
      <c r="T1130" s="2"/>
    </row>
    <row r="1131" spans="1:20" s="1" customFormat="1" ht="126.75" customHeight="1" x14ac:dyDescent="0.35">
      <c r="A1131" s="605"/>
      <c r="B1131" s="541"/>
      <c r="C1131" s="19" t="s">
        <v>79</v>
      </c>
      <c r="D1131" s="41" t="s">
        <v>111</v>
      </c>
      <c r="E1131" s="19" t="s">
        <v>18</v>
      </c>
      <c r="F1131" s="19">
        <v>100</v>
      </c>
      <c r="G1131" s="19">
        <v>100</v>
      </c>
      <c r="H1131" s="24">
        <f>IF(G1131/F1131*100&gt;100,100,G1131/F1131*100)</f>
        <v>100</v>
      </c>
      <c r="I1131" s="19"/>
      <c r="J1131" s="129"/>
      <c r="K1131" s="41"/>
      <c r="L1131" s="19"/>
      <c r="M1131" s="122"/>
      <c r="N1131" s="122"/>
      <c r="O1131" s="24"/>
      <c r="P1131" s="468"/>
      <c r="Q1131" s="35"/>
      <c r="R1131" s="19"/>
      <c r="S1131" s="557"/>
      <c r="T1131" s="2"/>
    </row>
    <row r="1132" spans="1:20" s="1" customFormat="1" ht="40.5" customHeight="1" x14ac:dyDescent="0.35">
      <c r="A1132" s="605"/>
      <c r="B1132" s="541"/>
      <c r="C1132" s="465"/>
      <c r="D1132" s="466" t="s">
        <v>644</v>
      </c>
      <c r="E1132" s="465"/>
      <c r="F1132" s="20"/>
      <c r="G1132" s="20"/>
      <c r="H1132" s="18"/>
      <c r="I1132" s="18">
        <f>(H1127+H1128+H1129+H1130+H1131)/5</f>
        <v>100</v>
      </c>
      <c r="J1132" s="128"/>
      <c r="K1132" s="466" t="s">
        <v>644</v>
      </c>
      <c r="L1132" s="20"/>
      <c r="M1132" s="124"/>
      <c r="N1132" s="124"/>
      <c r="O1132" s="18"/>
      <c r="P1132" s="18">
        <f>O1127</f>
        <v>98.98989898989899</v>
      </c>
      <c r="Q1132" s="18">
        <f>(I1132+P1132)/2</f>
        <v>99.494949494949495</v>
      </c>
      <c r="R1132" s="465" t="s">
        <v>112</v>
      </c>
      <c r="S1132" s="557"/>
      <c r="T1132" s="2"/>
    </row>
    <row r="1133" spans="1:20" s="1" customFormat="1" ht="73.5" customHeight="1" x14ac:dyDescent="0.35">
      <c r="A1133" s="605"/>
      <c r="B1133" s="541"/>
      <c r="C1133" s="454" t="s">
        <v>36</v>
      </c>
      <c r="D1133" s="59" t="s">
        <v>116</v>
      </c>
      <c r="E1133" s="19"/>
      <c r="F1133" s="19"/>
      <c r="G1133" s="19"/>
      <c r="H1133" s="35"/>
      <c r="I1133" s="35"/>
      <c r="J1133" s="454" t="s">
        <v>36</v>
      </c>
      <c r="K1133" s="59" t="str">
        <f>D1133</f>
        <v>Реализация основных общеобразовательных программ среднего общего образования</v>
      </c>
      <c r="L1133" s="19"/>
      <c r="M1133" s="122"/>
      <c r="N1133" s="122"/>
      <c r="O1133" s="35"/>
      <c r="P1133" s="468"/>
      <c r="Q1133" s="35"/>
      <c r="R1133" s="19"/>
      <c r="S1133" s="557"/>
      <c r="T1133" s="2"/>
    </row>
    <row r="1134" spans="1:20" s="1" customFormat="1" ht="72.75" customHeight="1" x14ac:dyDescent="0.35">
      <c r="A1134" s="605"/>
      <c r="B1134" s="541"/>
      <c r="C1134" s="19" t="s">
        <v>38</v>
      </c>
      <c r="D1134" s="41" t="s">
        <v>117</v>
      </c>
      <c r="E1134" s="19" t="s">
        <v>18</v>
      </c>
      <c r="F1134" s="19">
        <v>100</v>
      </c>
      <c r="G1134" s="19">
        <v>100</v>
      </c>
      <c r="H1134" s="24">
        <f>IF(G1134/F1134*100&gt;100,100,G1134/F1134*100)</f>
        <v>100</v>
      </c>
      <c r="I1134" s="19"/>
      <c r="J1134" s="129" t="s">
        <v>38</v>
      </c>
      <c r="K1134" s="41" t="s">
        <v>106</v>
      </c>
      <c r="L1134" s="19" t="s">
        <v>20</v>
      </c>
      <c r="M1134" s="19">
        <v>56</v>
      </c>
      <c r="N1134" s="19">
        <v>52</v>
      </c>
      <c r="O1134" s="24">
        <f>IF(N1134/M1134*100&gt;110,110,N1134/M1134*100)</f>
        <v>92.857142857142861</v>
      </c>
      <c r="P1134" s="19"/>
      <c r="Q1134" s="35"/>
      <c r="R1134" s="19"/>
      <c r="S1134" s="557"/>
      <c r="T1134" s="2"/>
    </row>
    <row r="1135" spans="1:20" s="1" customFormat="1" ht="36.75" customHeight="1" x14ac:dyDescent="0.35">
      <c r="A1135" s="605"/>
      <c r="B1135" s="541"/>
      <c r="C1135" s="19" t="s">
        <v>118</v>
      </c>
      <c r="D1135" s="41" t="s">
        <v>119</v>
      </c>
      <c r="E1135" s="19" t="s">
        <v>18</v>
      </c>
      <c r="F1135" s="19">
        <v>100</v>
      </c>
      <c r="G1135" s="19">
        <v>100</v>
      </c>
      <c r="H1135" s="24">
        <f>IF(G1135/F1135*100&gt;100,100,G1135/F1135*100)</f>
        <v>100</v>
      </c>
      <c r="I1135" s="19"/>
      <c r="J1135" s="129"/>
      <c r="K1135" s="41"/>
      <c r="L1135" s="19"/>
      <c r="M1135" s="122"/>
      <c r="N1135" s="122"/>
      <c r="O1135" s="24"/>
      <c r="P1135" s="468"/>
      <c r="Q1135" s="35"/>
      <c r="R1135" s="19"/>
      <c r="S1135" s="557"/>
      <c r="T1135" s="2"/>
    </row>
    <row r="1136" spans="1:20" s="1" customFormat="1" ht="55.5" customHeight="1" x14ac:dyDescent="0.35">
      <c r="A1136" s="605"/>
      <c r="B1136" s="541"/>
      <c r="C1136" s="19" t="s">
        <v>120</v>
      </c>
      <c r="D1136" s="41" t="s">
        <v>108</v>
      </c>
      <c r="E1136" s="19" t="s">
        <v>18</v>
      </c>
      <c r="F1136" s="19">
        <v>100</v>
      </c>
      <c r="G1136" s="19">
        <v>100</v>
      </c>
      <c r="H1136" s="24">
        <f>IF(G1136/F1136*100&gt;100,100,G1136/F1136*100)</f>
        <v>100</v>
      </c>
      <c r="I1136" s="19"/>
      <c r="J1136" s="129"/>
      <c r="K1136" s="41"/>
      <c r="L1136" s="19"/>
      <c r="M1136" s="122"/>
      <c r="N1136" s="122"/>
      <c r="O1136" s="24"/>
      <c r="P1136" s="468"/>
      <c r="Q1136" s="35"/>
      <c r="R1136" s="19"/>
      <c r="S1136" s="557"/>
      <c r="T1136" s="2"/>
    </row>
    <row r="1137" spans="1:21" s="1" customFormat="1" ht="76.5" customHeight="1" x14ac:dyDescent="0.35">
      <c r="A1137" s="605"/>
      <c r="B1137" s="541"/>
      <c r="C1137" s="19" t="s">
        <v>121</v>
      </c>
      <c r="D1137" s="41" t="s">
        <v>17</v>
      </c>
      <c r="E1137" s="19" t="s">
        <v>18</v>
      </c>
      <c r="F1137" s="19">
        <v>90</v>
      </c>
      <c r="G1137" s="19">
        <v>90</v>
      </c>
      <c r="H1137" s="24">
        <f>IF(G1137/F1137*100&gt;100,100,G1137/F1137*100)</f>
        <v>100</v>
      </c>
      <c r="I1137" s="19"/>
      <c r="J1137" s="129"/>
      <c r="K1137" s="41"/>
      <c r="L1137" s="19"/>
      <c r="M1137" s="122"/>
      <c r="N1137" s="122"/>
      <c r="O1137" s="24"/>
      <c r="P1137" s="468"/>
      <c r="Q1137" s="35"/>
      <c r="R1137" s="19"/>
      <c r="S1137" s="557"/>
      <c r="T1137" s="2"/>
    </row>
    <row r="1138" spans="1:21" s="1" customFormat="1" ht="127.5" customHeight="1" x14ac:dyDescent="0.35">
      <c r="A1138" s="605"/>
      <c r="B1138" s="541"/>
      <c r="C1138" s="19" t="s">
        <v>122</v>
      </c>
      <c r="D1138" s="41" t="s">
        <v>111</v>
      </c>
      <c r="E1138" s="19" t="s">
        <v>18</v>
      </c>
      <c r="F1138" s="19">
        <v>100</v>
      </c>
      <c r="G1138" s="19">
        <v>100</v>
      </c>
      <c r="H1138" s="24">
        <f>IF(G1138/F1138*100&gt;100,100,G1138/F1138*100)</f>
        <v>100</v>
      </c>
      <c r="I1138" s="19"/>
      <c r="J1138" s="129"/>
      <c r="K1138" s="41"/>
      <c r="L1138" s="19"/>
      <c r="M1138" s="122"/>
      <c r="N1138" s="122"/>
      <c r="O1138" s="24"/>
      <c r="P1138" s="468"/>
      <c r="Q1138" s="35"/>
      <c r="R1138" s="19"/>
      <c r="S1138" s="557"/>
      <c r="T1138" s="2"/>
    </row>
    <row r="1139" spans="1:21" s="1" customFormat="1" ht="40.5" customHeight="1" x14ac:dyDescent="0.35">
      <c r="A1139" s="605"/>
      <c r="B1139" s="541"/>
      <c r="C1139" s="465"/>
      <c r="D1139" s="466" t="s">
        <v>644</v>
      </c>
      <c r="E1139" s="465"/>
      <c r="F1139" s="20"/>
      <c r="G1139" s="20"/>
      <c r="H1139" s="18"/>
      <c r="I1139" s="18">
        <f>(H1134+H1135+H1136+H1137+H1138)/5</f>
        <v>100</v>
      </c>
      <c r="J1139" s="128"/>
      <c r="K1139" s="466" t="s">
        <v>644</v>
      </c>
      <c r="L1139" s="20"/>
      <c r="M1139" s="124"/>
      <c r="N1139" s="124"/>
      <c r="O1139" s="18"/>
      <c r="P1139" s="18">
        <f>O1134</f>
        <v>92.857142857142861</v>
      </c>
      <c r="Q1139" s="18">
        <f>(I1139+P1139)/2</f>
        <v>96.428571428571431</v>
      </c>
      <c r="R1139" s="465" t="s">
        <v>112</v>
      </c>
      <c r="S1139" s="557"/>
      <c r="T1139" s="2"/>
    </row>
    <row r="1140" spans="1:21" s="1" customFormat="1" ht="36.75" customHeight="1" x14ac:dyDescent="0.35">
      <c r="A1140" s="605"/>
      <c r="B1140" s="541"/>
      <c r="C1140" s="454" t="s">
        <v>123</v>
      </c>
      <c r="D1140" s="59" t="s">
        <v>27</v>
      </c>
      <c r="E1140" s="19"/>
      <c r="F1140" s="19"/>
      <c r="G1140" s="19"/>
      <c r="H1140" s="35"/>
      <c r="I1140" s="35"/>
      <c r="J1140" s="454" t="s">
        <v>123</v>
      </c>
      <c r="K1140" s="59" t="s">
        <v>27</v>
      </c>
      <c r="L1140" s="19"/>
      <c r="M1140" s="122"/>
      <c r="N1140" s="122"/>
      <c r="O1140" s="35"/>
      <c r="P1140" s="468"/>
      <c r="Q1140" s="35"/>
      <c r="R1140" s="19"/>
      <c r="S1140" s="557"/>
      <c r="T1140" s="2"/>
    </row>
    <row r="1141" spans="1:21" s="1" customFormat="1" ht="59.25" customHeight="1" x14ac:dyDescent="0.35">
      <c r="A1141" s="605"/>
      <c r="B1141" s="541"/>
      <c r="C1141" s="19" t="s">
        <v>124</v>
      </c>
      <c r="D1141" s="41" t="s">
        <v>125</v>
      </c>
      <c r="E1141" s="19" t="s">
        <v>18</v>
      </c>
      <c r="F1141" s="19">
        <v>100</v>
      </c>
      <c r="G1141" s="19">
        <v>100</v>
      </c>
      <c r="H1141" s="24">
        <f>IF(G1141/F1141*100&gt;100,100,G1141/F1141*100)</f>
        <v>100</v>
      </c>
      <c r="I1141" s="19"/>
      <c r="J1141" s="129" t="s">
        <v>124</v>
      </c>
      <c r="K1141" s="41" t="s">
        <v>106</v>
      </c>
      <c r="L1141" s="19" t="s">
        <v>20</v>
      </c>
      <c r="M1141" s="19">
        <v>123</v>
      </c>
      <c r="N1141" s="19">
        <v>120</v>
      </c>
      <c r="O1141" s="24">
        <f>IF(N1141/M1141*100&gt;110,110,N1141/M1141*100)</f>
        <v>97.560975609756099</v>
      </c>
      <c r="P1141" s="468"/>
      <c r="Q1141" s="35"/>
      <c r="R1141" s="19"/>
      <c r="S1141" s="557"/>
      <c r="T1141" s="2"/>
    </row>
    <row r="1142" spans="1:21" s="1" customFormat="1" ht="75.75" customHeight="1" x14ac:dyDescent="0.35">
      <c r="A1142" s="605"/>
      <c r="B1142" s="541"/>
      <c r="C1142" s="19" t="s">
        <v>127</v>
      </c>
      <c r="D1142" s="41" t="s">
        <v>128</v>
      </c>
      <c r="E1142" s="19" t="s">
        <v>18</v>
      </c>
      <c r="F1142" s="19">
        <v>90</v>
      </c>
      <c r="G1142" s="19">
        <v>90</v>
      </c>
      <c r="H1142" s="24">
        <f>IF(G1142/F1142*100&gt;100,100,G1142/F1142*100)</f>
        <v>100</v>
      </c>
      <c r="I1142" s="19"/>
      <c r="J1142" s="129"/>
      <c r="K1142" s="41"/>
      <c r="L1142" s="19"/>
      <c r="M1142" s="122"/>
      <c r="N1142" s="122"/>
      <c r="O1142" s="24"/>
      <c r="P1142" s="468"/>
      <c r="Q1142" s="35"/>
      <c r="R1142" s="19"/>
      <c r="S1142" s="557"/>
      <c r="T1142" s="2"/>
    </row>
    <row r="1143" spans="1:21" s="1" customFormat="1" ht="40.5" customHeight="1" x14ac:dyDescent="0.35">
      <c r="A1143" s="605"/>
      <c r="B1143" s="541"/>
      <c r="C1143" s="465"/>
      <c r="D1143" s="466" t="s">
        <v>644</v>
      </c>
      <c r="E1143" s="465"/>
      <c r="F1143" s="20"/>
      <c r="G1143" s="20"/>
      <c r="H1143" s="18"/>
      <c r="I1143" s="18">
        <f>(H1141+H1142)/2</f>
        <v>100</v>
      </c>
      <c r="J1143" s="128"/>
      <c r="K1143" s="466" t="s">
        <v>644</v>
      </c>
      <c r="L1143" s="20"/>
      <c r="M1143" s="124"/>
      <c r="N1143" s="124"/>
      <c r="O1143" s="18"/>
      <c r="P1143" s="18">
        <f>O1141</f>
        <v>97.560975609756099</v>
      </c>
      <c r="Q1143" s="18">
        <f>(I1143+P1143)/2</f>
        <v>98.780487804878049</v>
      </c>
      <c r="R1143" s="465" t="s">
        <v>112</v>
      </c>
      <c r="S1143" s="557"/>
      <c r="T1143" s="2"/>
    </row>
    <row r="1144" spans="1:21" s="1" customFormat="1" ht="68.25" customHeight="1" x14ac:dyDescent="0.35">
      <c r="A1144" s="605"/>
      <c r="B1144" s="541"/>
      <c r="C1144" s="454" t="s">
        <v>129</v>
      </c>
      <c r="D1144" s="59" t="s">
        <v>130</v>
      </c>
      <c r="E1144" s="19"/>
      <c r="F1144" s="19"/>
      <c r="G1144" s="19"/>
      <c r="H1144" s="35"/>
      <c r="I1144" s="35"/>
      <c r="J1144" s="454" t="s">
        <v>129</v>
      </c>
      <c r="K1144" s="59" t="str">
        <f>D1144</f>
        <v>Реализация дополнительных общеразвивающих программ</v>
      </c>
      <c r="L1144" s="19"/>
      <c r="M1144" s="122"/>
      <c r="N1144" s="122"/>
      <c r="O1144" s="35"/>
      <c r="P1144" s="468"/>
      <c r="Q1144" s="35"/>
      <c r="R1144" s="19"/>
      <c r="S1144" s="557"/>
      <c r="T1144" s="2"/>
    </row>
    <row r="1145" spans="1:21" s="1" customFormat="1" ht="86.25" customHeight="1" x14ac:dyDescent="0.35">
      <c r="A1145" s="605"/>
      <c r="B1145" s="541"/>
      <c r="C1145" s="19" t="s">
        <v>131</v>
      </c>
      <c r="D1145" s="41" t="s">
        <v>128</v>
      </c>
      <c r="E1145" s="19" t="s">
        <v>18</v>
      </c>
      <c r="F1145" s="19">
        <v>90</v>
      </c>
      <c r="G1145" s="19">
        <v>90</v>
      </c>
      <c r="H1145" s="24">
        <f>IF(G1145/F1145*100&gt;100,100,G1145/F1145*100)</f>
        <v>100</v>
      </c>
      <c r="I1145" s="19"/>
      <c r="J1145" s="129" t="s">
        <v>131</v>
      </c>
      <c r="K1145" s="41" t="s">
        <v>136</v>
      </c>
      <c r="L1145" s="19" t="s">
        <v>139</v>
      </c>
      <c r="M1145" s="19">
        <v>51408</v>
      </c>
      <c r="N1145" s="19">
        <v>51413</v>
      </c>
      <c r="O1145" s="24">
        <f>IF(N1145/M1145*100&gt;110,110,N1145/M1145*100)</f>
        <v>100.00972611266729</v>
      </c>
      <c r="P1145" s="468"/>
      <c r="Q1145" s="35"/>
      <c r="R1145" s="19"/>
      <c r="S1145" s="557"/>
      <c r="T1145" s="2"/>
    </row>
    <row r="1146" spans="1:21" s="1" customFormat="1" ht="41.25" customHeight="1" x14ac:dyDescent="0.35">
      <c r="A1146" s="605"/>
      <c r="B1146" s="541"/>
      <c r="C1146" s="465"/>
      <c r="D1146" s="466" t="s">
        <v>644</v>
      </c>
      <c r="E1146" s="465"/>
      <c r="F1146" s="20"/>
      <c r="G1146" s="20"/>
      <c r="H1146" s="18"/>
      <c r="I1146" s="18">
        <f>H1145</f>
        <v>100</v>
      </c>
      <c r="J1146" s="128"/>
      <c r="K1146" s="466" t="s">
        <v>644</v>
      </c>
      <c r="L1146" s="20"/>
      <c r="M1146" s="124"/>
      <c r="N1146" s="124"/>
      <c r="O1146" s="18"/>
      <c r="P1146" s="18">
        <f>O1145</f>
        <v>100.00972611266729</v>
      </c>
      <c r="Q1146" s="18">
        <f>(I1146+P1146)/2</f>
        <v>100.00486305633365</v>
      </c>
      <c r="R1146" s="465" t="s">
        <v>25</v>
      </c>
      <c r="S1146" s="557"/>
      <c r="T1146" s="2"/>
    </row>
    <row r="1147" spans="1:21" s="1" customFormat="1" ht="73.5" customHeight="1" x14ac:dyDescent="0.35">
      <c r="A1147" s="605">
        <v>57</v>
      </c>
      <c r="B1147" s="541" t="s">
        <v>175</v>
      </c>
      <c r="C1147" s="454" t="s">
        <v>13</v>
      </c>
      <c r="D1147" s="59" t="s">
        <v>14</v>
      </c>
      <c r="E1147" s="454"/>
      <c r="F1147" s="454"/>
      <c r="G1147" s="454"/>
      <c r="H1147" s="35"/>
      <c r="I1147" s="35"/>
      <c r="J1147" s="454" t="s">
        <v>13</v>
      </c>
      <c r="K1147" s="59" t="s">
        <v>14</v>
      </c>
      <c r="L1147" s="19"/>
      <c r="M1147" s="19"/>
      <c r="N1147" s="19"/>
      <c r="O1147" s="35"/>
      <c r="P1147" s="468"/>
      <c r="Q1147" s="35"/>
      <c r="R1147" s="19"/>
      <c r="S1147" s="557" t="s">
        <v>104</v>
      </c>
      <c r="T1147" s="2"/>
    </row>
    <row r="1148" spans="1:21" s="1" customFormat="1" ht="77.25" customHeight="1" x14ac:dyDescent="0.35">
      <c r="A1148" s="605"/>
      <c r="B1148" s="541"/>
      <c r="C1148" s="19" t="s">
        <v>16</v>
      </c>
      <c r="D1148" s="41" t="s">
        <v>17</v>
      </c>
      <c r="E1148" s="19" t="s">
        <v>176</v>
      </c>
      <c r="F1148" s="19">
        <v>95</v>
      </c>
      <c r="G1148" s="19">
        <v>100</v>
      </c>
      <c r="H1148" s="24">
        <f>IF(G1148/F1148*100&gt;100,100,G1148/F1148*100)</f>
        <v>100</v>
      </c>
      <c r="I1148" s="19"/>
      <c r="J1148" s="19" t="s">
        <v>16</v>
      </c>
      <c r="K1148" s="41" t="s">
        <v>49</v>
      </c>
      <c r="L1148" s="19" t="s">
        <v>177</v>
      </c>
      <c r="M1148" s="19">
        <v>12</v>
      </c>
      <c r="N1148" s="19">
        <v>12</v>
      </c>
      <c r="O1148" s="24">
        <f>IF(N1148/M1148*100&gt;110,110,N1148/M1148*100)</f>
        <v>100</v>
      </c>
      <c r="P1148" s="468"/>
      <c r="Q1148" s="35"/>
      <c r="R1148" s="19"/>
      <c r="S1148" s="557"/>
      <c r="T1148" s="2"/>
    </row>
    <row r="1149" spans="1:21" s="1" customFormat="1" ht="72.75" customHeight="1" x14ac:dyDescent="0.35">
      <c r="A1149" s="605"/>
      <c r="B1149" s="541"/>
      <c r="C1149" s="19"/>
      <c r="D1149" s="41"/>
      <c r="E1149" s="19"/>
      <c r="F1149" s="19"/>
      <c r="G1149" s="19"/>
      <c r="H1149" s="24"/>
      <c r="I1149" s="19"/>
      <c r="J1149" s="19" t="s">
        <v>21</v>
      </c>
      <c r="K1149" s="41" t="s">
        <v>22</v>
      </c>
      <c r="L1149" s="19" t="s">
        <v>177</v>
      </c>
      <c r="M1149" s="19">
        <v>22</v>
      </c>
      <c r="N1149" s="19">
        <v>22</v>
      </c>
      <c r="O1149" s="24">
        <f>IF(N1149/M1149*100&gt;110,110,N1149/M1149*100)</f>
        <v>100</v>
      </c>
      <c r="P1149" s="468"/>
      <c r="Q1149" s="35"/>
      <c r="R1149" s="19"/>
      <c r="S1149" s="557"/>
      <c r="T1149" s="2"/>
    </row>
    <row r="1150" spans="1:21" s="1" customFormat="1" ht="72.75" customHeight="1" x14ac:dyDescent="0.35">
      <c r="A1150" s="605"/>
      <c r="B1150" s="541"/>
      <c r="C1150" s="19"/>
      <c r="D1150" s="41"/>
      <c r="E1150" s="19"/>
      <c r="F1150" s="19"/>
      <c r="G1150" s="19"/>
      <c r="H1150" s="24"/>
      <c r="I1150" s="19"/>
      <c r="J1150" s="19" t="s">
        <v>23</v>
      </c>
      <c r="K1150" s="41" t="s">
        <v>56</v>
      </c>
      <c r="L1150" s="19" t="s">
        <v>20</v>
      </c>
      <c r="M1150" s="19">
        <v>1</v>
      </c>
      <c r="N1150" s="19">
        <v>1</v>
      </c>
      <c r="O1150" s="24">
        <f>IF(N1150/M1150*100&gt;110,110,N1150/M1150*100)</f>
        <v>100</v>
      </c>
      <c r="P1150" s="468"/>
      <c r="Q1150" s="35"/>
      <c r="R1150" s="19"/>
      <c r="S1150" s="557"/>
      <c r="T1150" s="2"/>
    </row>
    <row r="1151" spans="1:21" s="1" customFormat="1" ht="62.25" customHeight="1" x14ac:dyDescent="0.35">
      <c r="A1151" s="605"/>
      <c r="B1151" s="541"/>
      <c r="C1151" s="128"/>
      <c r="D1151" s="466" t="s">
        <v>644</v>
      </c>
      <c r="E1151" s="20"/>
      <c r="F1151" s="127"/>
      <c r="G1151" s="126"/>
      <c r="H1151" s="18"/>
      <c r="I1151" s="18">
        <f>H1148</f>
        <v>100</v>
      </c>
      <c r="J1151" s="20"/>
      <c r="K1151" s="466" t="s">
        <v>644</v>
      </c>
      <c r="L1151" s="20"/>
      <c r="M1151" s="124"/>
      <c r="N1151" s="124"/>
      <c r="O1151" s="18"/>
      <c r="P1151" s="18">
        <f>(O1150+O1148+O1149)/3</f>
        <v>100</v>
      </c>
      <c r="Q1151" s="18">
        <f>(I1151+P1151)/2</f>
        <v>100</v>
      </c>
      <c r="R1151" s="465" t="s">
        <v>25</v>
      </c>
      <c r="S1151" s="557"/>
      <c r="T1151" s="2"/>
      <c r="U1151" s="3"/>
    </row>
    <row r="1152" spans="1:21" s="1" customFormat="1" x14ac:dyDescent="0.35">
      <c r="A1152" s="605"/>
      <c r="B1152" s="541"/>
      <c r="C1152" s="454" t="s">
        <v>26</v>
      </c>
      <c r="D1152" s="59" t="s">
        <v>27</v>
      </c>
      <c r="E1152" s="19"/>
      <c r="F1152" s="19"/>
      <c r="G1152" s="19"/>
      <c r="H1152" s="35"/>
      <c r="I1152" s="35"/>
      <c r="J1152" s="454" t="s">
        <v>26</v>
      </c>
      <c r="K1152" s="59" t="s">
        <v>27</v>
      </c>
      <c r="L1152" s="19"/>
      <c r="M1152" s="476"/>
      <c r="N1152" s="476"/>
      <c r="O1152" s="35"/>
      <c r="P1152" s="468"/>
      <c r="Q1152" s="35"/>
      <c r="R1152" s="19"/>
      <c r="S1152" s="557"/>
      <c r="T1152" s="2"/>
    </row>
    <row r="1153" spans="1:21" s="1" customFormat="1" ht="63.75" customHeight="1" x14ac:dyDescent="0.35">
      <c r="A1153" s="605"/>
      <c r="B1153" s="541"/>
      <c r="C1153" s="19" t="s">
        <v>28</v>
      </c>
      <c r="D1153" s="41" t="s">
        <v>17</v>
      </c>
      <c r="E1153" s="19" t="s">
        <v>176</v>
      </c>
      <c r="F1153" s="19">
        <v>95</v>
      </c>
      <c r="G1153" s="19">
        <v>100</v>
      </c>
      <c r="H1153" s="24">
        <f>IF(G1153/F1153*100&gt;100,100,G1153/F1153*100)</f>
        <v>100</v>
      </c>
      <c r="I1153" s="19"/>
      <c r="J1153" s="129" t="s">
        <v>28</v>
      </c>
      <c r="K1153" s="41" t="s">
        <v>53</v>
      </c>
      <c r="L1153" s="19" t="s">
        <v>177</v>
      </c>
      <c r="M1153" s="19">
        <v>35</v>
      </c>
      <c r="N1153" s="19">
        <v>35</v>
      </c>
      <c r="O1153" s="24">
        <f>IF(N1153/M1153*100&gt;110,110,N1153/M1153*100)</f>
        <v>100</v>
      </c>
      <c r="P1153" s="468"/>
      <c r="Q1153" s="35"/>
      <c r="R1153" s="19"/>
      <c r="S1153" s="557"/>
      <c r="T1153" s="2"/>
    </row>
    <row r="1154" spans="1:21" s="1" customFormat="1" ht="80.25" customHeight="1" x14ac:dyDescent="0.35">
      <c r="A1154" s="605"/>
      <c r="B1154" s="541"/>
      <c r="C1154" s="19" t="s">
        <v>30</v>
      </c>
      <c r="D1154" s="41" t="s">
        <v>178</v>
      </c>
      <c r="E1154" s="19" t="s">
        <v>179</v>
      </c>
      <c r="F1154" s="19">
        <v>35</v>
      </c>
      <c r="G1154" s="19">
        <v>21</v>
      </c>
      <c r="H1154" s="24">
        <f>IF(F1154/G1154*100&gt;100,100,F1154/G1154*100)</f>
        <v>100</v>
      </c>
      <c r="I1154" s="19"/>
      <c r="J1154" s="129"/>
      <c r="K1154" s="41"/>
      <c r="L1154" s="19"/>
      <c r="M1154" s="122"/>
      <c r="N1154" s="122"/>
      <c r="O1154" s="24"/>
      <c r="P1154" s="468"/>
      <c r="Q1154" s="35"/>
      <c r="R1154" s="19"/>
      <c r="S1154" s="557"/>
      <c r="T1154" s="2"/>
    </row>
    <row r="1155" spans="1:21" s="1" customFormat="1" ht="54.75" customHeight="1" x14ac:dyDescent="0.35">
      <c r="A1155" s="605"/>
      <c r="B1155" s="541"/>
      <c r="C1155" s="128"/>
      <c r="D1155" s="466" t="s">
        <v>644</v>
      </c>
      <c r="E1155" s="20"/>
      <c r="F1155" s="127"/>
      <c r="G1155" s="126"/>
      <c r="H1155" s="18"/>
      <c r="I1155" s="18">
        <f>(H1153+H1154)/2</f>
        <v>100</v>
      </c>
      <c r="J1155" s="20"/>
      <c r="K1155" s="466" t="s">
        <v>644</v>
      </c>
      <c r="L1155" s="20"/>
      <c r="M1155" s="124"/>
      <c r="N1155" s="124"/>
      <c r="O1155" s="18"/>
      <c r="P1155" s="18">
        <f>O1153</f>
        <v>100</v>
      </c>
      <c r="Q1155" s="18">
        <f>(I1155+P1155)/2</f>
        <v>100</v>
      </c>
      <c r="R1155" s="465" t="s">
        <v>25</v>
      </c>
      <c r="S1155" s="557"/>
      <c r="T1155" s="2"/>
      <c r="U1155" s="3"/>
    </row>
    <row r="1156" spans="1:21" s="1" customFormat="1" ht="84.75" customHeight="1" x14ac:dyDescent="0.35">
      <c r="A1156" s="605"/>
      <c r="B1156" s="541"/>
      <c r="C1156" s="454" t="s">
        <v>36</v>
      </c>
      <c r="D1156" s="59" t="s">
        <v>103</v>
      </c>
      <c r="E1156" s="454"/>
      <c r="F1156" s="454"/>
      <c r="G1156" s="454"/>
      <c r="H1156" s="35"/>
      <c r="I1156" s="35"/>
      <c r="J1156" s="454" t="s">
        <v>36</v>
      </c>
      <c r="K1156" s="59" t="s">
        <v>103</v>
      </c>
      <c r="L1156" s="19"/>
      <c r="M1156" s="19"/>
      <c r="N1156" s="19"/>
      <c r="O1156" s="35"/>
      <c r="P1156" s="468"/>
      <c r="Q1156" s="35"/>
      <c r="R1156" s="19"/>
      <c r="S1156" s="557"/>
      <c r="T1156" s="2"/>
    </row>
    <row r="1157" spans="1:21" s="1" customFormat="1" ht="69" customHeight="1" x14ac:dyDescent="0.35">
      <c r="A1157" s="605"/>
      <c r="B1157" s="541"/>
      <c r="C1157" s="19" t="s">
        <v>38</v>
      </c>
      <c r="D1157" s="41" t="s">
        <v>105</v>
      </c>
      <c r="E1157" s="19" t="s">
        <v>18</v>
      </c>
      <c r="F1157" s="19">
        <v>100</v>
      </c>
      <c r="G1157" s="19">
        <v>100</v>
      </c>
      <c r="H1157" s="24">
        <f>IF(G1157/F1157*100&gt;100,100,G1157/F1157*100)</f>
        <v>100</v>
      </c>
      <c r="I1157" s="19"/>
      <c r="J1157" s="19" t="s">
        <v>38</v>
      </c>
      <c r="K1157" s="41" t="s">
        <v>106</v>
      </c>
      <c r="L1157" s="19" t="s">
        <v>20</v>
      </c>
      <c r="M1157" s="19">
        <v>34</v>
      </c>
      <c r="N1157" s="19">
        <v>34</v>
      </c>
      <c r="O1157" s="24">
        <f>IF(N1157/M1157*100&gt;110,110,N1157/M1157*100)</f>
        <v>100</v>
      </c>
      <c r="P1157" s="468"/>
      <c r="Q1157" s="35"/>
      <c r="R1157" s="19"/>
      <c r="S1157" s="557"/>
      <c r="T1157" s="2"/>
    </row>
    <row r="1158" spans="1:21" s="1" customFormat="1" ht="33" customHeight="1" x14ac:dyDescent="0.35">
      <c r="A1158" s="605"/>
      <c r="B1158" s="541"/>
      <c r="C1158" s="19" t="s">
        <v>118</v>
      </c>
      <c r="D1158" s="41" t="s">
        <v>135</v>
      </c>
      <c r="E1158" s="19" t="s">
        <v>18</v>
      </c>
      <c r="F1158" s="19">
        <v>100</v>
      </c>
      <c r="G1158" s="19">
        <v>100</v>
      </c>
      <c r="H1158" s="24">
        <f>IF(G1158/F1158*100&gt;100,100,G1158/F1158*100)</f>
        <v>100</v>
      </c>
      <c r="I1158" s="19"/>
      <c r="J1158" s="19"/>
      <c r="K1158" s="455"/>
      <c r="L1158" s="19"/>
      <c r="M1158" s="476"/>
      <c r="N1158" s="476"/>
      <c r="O1158" s="24"/>
      <c r="P1158" s="468"/>
      <c r="Q1158" s="35"/>
      <c r="R1158" s="19"/>
      <c r="S1158" s="557"/>
      <c r="T1158" s="2"/>
    </row>
    <row r="1159" spans="1:21" s="1" customFormat="1" ht="48.75" customHeight="1" x14ac:dyDescent="0.35">
      <c r="A1159" s="605"/>
      <c r="B1159" s="541"/>
      <c r="C1159" s="19" t="s">
        <v>120</v>
      </c>
      <c r="D1159" s="41" t="s">
        <v>108</v>
      </c>
      <c r="E1159" s="19" t="s">
        <v>18</v>
      </c>
      <c r="F1159" s="19">
        <v>100</v>
      </c>
      <c r="G1159" s="19">
        <v>100</v>
      </c>
      <c r="H1159" s="24">
        <f>IF(G1159/F1159*100&gt;100,100,G1159/F1159*100)</f>
        <v>100</v>
      </c>
      <c r="I1159" s="19"/>
      <c r="J1159" s="129"/>
      <c r="K1159" s="41"/>
      <c r="L1159" s="19"/>
      <c r="M1159" s="122"/>
      <c r="N1159" s="122"/>
      <c r="O1159" s="24"/>
      <c r="P1159" s="468"/>
      <c r="Q1159" s="35"/>
      <c r="R1159" s="19"/>
      <c r="S1159" s="557"/>
      <c r="T1159" s="2"/>
    </row>
    <row r="1160" spans="1:21" s="1" customFormat="1" ht="74.25" customHeight="1" x14ac:dyDescent="0.35">
      <c r="A1160" s="605"/>
      <c r="B1160" s="541"/>
      <c r="C1160" s="19" t="s">
        <v>121</v>
      </c>
      <c r="D1160" s="41" t="s">
        <v>157</v>
      </c>
      <c r="E1160" s="19" t="s">
        <v>18</v>
      </c>
      <c r="F1160" s="19">
        <v>90</v>
      </c>
      <c r="G1160" s="19">
        <v>100</v>
      </c>
      <c r="H1160" s="24">
        <f>IF(G1160/F1160*100&gt;100,100,G1160/F1160*100)</f>
        <v>100</v>
      </c>
      <c r="I1160" s="19"/>
      <c r="J1160" s="129"/>
      <c r="K1160" s="41"/>
      <c r="L1160" s="19"/>
      <c r="M1160" s="122"/>
      <c r="N1160" s="122"/>
      <c r="O1160" s="24"/>
      <c r="P1160" s="468"/>
      <c r="Q1160" s="35"/>
      <c r="R1160" s="19"/>
      <c r="S1160" s="557"/>
      <c r="T1160" s="2"/>
    </row>
    <row r="1161" spans="1:21" s="1" customFormat="1" ht="126.75" customHeight="1" x14ac:dyDescent="0.35">
      <c r="A1161" s="605"/>
      <c r="B1161" s="541"/>
      <c r="C1161" s="19" t="s">
        <v>122</v>
      </c>
      <c r="D1161" s="41" t="s">
        <v>111</v>
      </c>
      <c r="E1161" s="19" t="s">
        <v>18</v>
      </c>
      <c r="F1161" s="19">
        <v>100</v>
      </c>
      <c r="G1161" s="19">
        <v>100</v>
      </c>
      <c r="H1161" s="24">
        <f>IF(G1161/F1161*100&gt;100,100,G1161/F1161*100)</f>
        <v>100</v>
      </c>
      <c r="I1161" s="19"/>
      <c r="J1161" s="129"/>
      <c r="K1161" s="41"/>
      <c r="L1161" s="19"/>
      <c r="M1161" s="122"/>
      <c r="N1161" s="122"/>
      <c r="O1161" s="24"/>
      <c r="P1161" s="468"/>
      <c r="Q1161" s="35"/>
      <c r="R1161" s="19"/>
      <c r="S1161" s="557"/>
      <c r="T1161" s="2"/>
    </row>
    <row r="1162" spans="1:21" s="1" customFormat="1" ht="40.5" customHeight="1" x14ac:dyDescent="0.35">
      <c r="A1162" s="605"/>
      <c r="B1162" s="541"/>
      <c r="C1162" s="465"/>
      <c r="D1162" s="466" t="s">
        <v>644</v>
      </c>
      <c r="E1162" s="465"/>
      <c r="F1162" s="20"/>
      <c r="G1162" s="20"/>
      <c r="H1162" s="18"/>
      <c r="I1162" s="18">
        <f>(H1157+H1158+H1159+H1160+H1161)/5</f>
        <v>100</v>
      </c>
      <c r="J1162" s="128"/>
      <c r="K1162" s="466" t="s">
        <v>644</v>
      </c>
      <c r="L1162" s="20"/>
      <c r="M1162" s="124"/>
      <c r="N1162" s="124"/>
      <c r="O1162" s="18"/>
      <c r="P1162" s="18">
        <f>O1157</f>
        <v>100</v>
      </c>
      <c r="Q1162" s="18">
        <f>(I1162+P1162)/2</f>
        <v>100</v>
      </c>
      <c r="R1162" s="465" t="s">
        <v>25</v>
      </c>
      <c r="S1162" s="557"/>
      <c r="T1162" s="2"/>
    </row>
    <row r="1163" spans="1:21" s="1" customFormat="1" ht="89.25" customHeight="1" x14ac:dyDescent="0.35">
      <c r="A1163" s="605"/>
      <c r="B1163" s="541"/>
      <c r="C1163" s="454" t="s">
        <v>123</v>
      </c>
      <c r="D1163" s="59" t="s">
        <v>113</v>
      </c>
      <c r="E1163" s="19"/>
      <c r="F1163" s="19"/>
      <c r="G1163" s="19"/>
      <c r="H1163" s="35"/>
      <c r="I1163" s="35"/>
      <c r="J1163" s="454" t="s">
        <v>123</v>
      </c>
      <c r="K1163" s="59" t="s">
        <v>113</v>
      </c>
      <c r="L1163" s="19"/>
      <c r="M1163" s="122"/>
      <c r="N1163" s="122"/>
      <c r="O1163" s="35"/>
      <c r="P1163" s="468"/>
      <c r="Q1163" s="35"/>
      <c r="R1163" s="19"/>
      <c r="S1163" s="557"/>
      <c r="T1163" s="2"/>
    </row>
    <row r="1164" spans="1:21" s="1" customFormat="1" ht="73.5" customHeight="1" x14ac:dyDescent="0.35">
      <c r="A1164" s="605"/>
      <c r="B1164" s="541"/>
      <c r="C1164" s="19" t="s">
        <v>124</v>
      </c>
      <c r="D1164" s="41" t="s">
        <v>114</v>
      </c>
      <c r="E1164" s="19" t="s">
        <v>18</v>
      </c>
      <c r="F1164" s="19">
        <v>100</v>
      </c>
      <c r="G1164" s="19">
        <v>100</v>
      </c>
      <c r="H1164" s="24">
        <f>IF(G1164/F1164*100&gt;100,100,G1164/F1164*100)</f>
        <v>100</v>
      </c>
      <c r="I1164" s="19"/>
      <c r="J1164" s="129" t="s">
        <v>124</v>
      </c>
      <c r="K1164" s="41" t="s">
        <v>106</v>
      </c>
      <c r="L1164" s="19" t="s">
        <v>20</v>
      </c>
      <c r="M1164" s="19">
        <v>45</v>
      </c>
      <c r="N1164" s="19">
        <v>46</v>
      </c>
      <c r="O1164" s="24">
        <f>IF(N1164/M1164*100&gt;110,110,N1164/M1164*100)</f>
        <v>102.22222222222221</v>
      </c>
      <c r="P1164" s="19"/>
      <c r="Q1164" s="35"/>
      <c r="R1164" s="19"/>
      <c r="S1164" s="557"/>
      <c r="T1164" s="2"/>
    </row>
    <row r="1165" spans="1:21" s="1" customFormat="1" ht="33" customHeight="1" x14ac:dyDescent="0.35">
      <c r="A1165" s="605"/>
      <c r="B1165" s="541"/>
      <c r="C1165" s="19" t="s">
        <v>127</v>
      </c>
      <c r="D1165" s="41" t="s">
        <v>115</v>
      </c>
      <c r="E1165" s="19" t="s">
        <v>18</v>
      </c>
      <c r="F1165" s="19">
        <v>100</v>
      </c>
      <c r="G1165" s="19">
        <v>100</v>
      </c>
      <c r="H1165" s="24">
        <f>IF(G1165/F1165*100&gt;100,100,G1165/F1165*100)</f>
        <v>100</v>
      </c>
      <c r="I1165" s="19"/>
      <c r="J1165" s="129"/>
      <c r="K1165" s="41"/>
      <c r="L1165" s="19"/>
      <c r="M1165" s="122"/>
      <c r="N1165" s="122"/>
      <c r="O1165" s="24"/>
      <c r="P1165" s="468"/>
      <c r="Q1165" s="35"/>
      <c r="R1165" s="19"/>
      <c r="S1165" s="557"/>
      <c r="T1165" s="2"/>
    </row>
    <row r="1166" spans="1:21" s="1" customFormat="1" ht="45.75" customHeight="1" x14ac:dyDescent="0.35">
      <c r="A1166" s="605"/>
      <c r="B1166" s="541"/>
      <c r="C1166" s="19" t="s">
        <v>180</v>
      </c>
      <c r="D1166" s="41" t="s">
        <v>108</v>
      </c>
      <c r="E1166" s="19" t="s">
        <v>18</v>
      </c>
      <c r="F1166" s="19">
        <v>100</v>
      </c>
      <c r="G1166" s="19">
        <v>100</v>
      </c>
      <c r="H1166" s="24">
        <f>IF(G1166/F1166*100&gt;100,100,G1166/F1166*100)</f>
        <v>100</v>
      </c>
      <c r="I1166" s="19"/>
      <c r="J1166" s="129"/>
      <c r="K1166" s="41"/>
      <c r="L1166" s="19"/>
      <c r="M1166" s="122"/>
      <c r="N1166" s="122"/>
      <c r="O1166" s="24"/>
      <c r="P1166" s="468"/>
      <c r="Q1166" s="35"/>
      <c r="R1166" s="19"/>
      <c r="S1166" s="557"/>
      <c r="T1166" s="2"/>
    </row>
    <row r="1167" spans="1:21" s="1" customFormat="1" ht="57.75" customHeight="1" x14ac:dyDescent="0.35">
      <c r="A1167" s="605"/>
      <c r="B1167" s="541"/>
      <c r="C1167" s="19" t="s">
        <v>181</v>
      </c>
      <c r="D1167" s="41" t="s">
        <v>157</v>
      </c>
      <c r="E1167" s="19" t="s">
        <v>18</v>
      </c>
      <c r="F1167" s="19">
        <v>90</v>
      </c>
      <c r="G1167" s="19">
        <v>100</v>
      </c>
      <c r="H1167" s="24">
        <f>IF(G1167/F1167*100&gt;100,100,G1167/F1167*100)</f>
        <v>100</v>
      </c>
      <c r="I1167" s="19"/>
      <c r="J1167" s="129"/>
      <c r="K1167" s="41"/>
      <c r="L1167" s="19"/>
      <c r="M1167" s="122"/>
      <c r="N1167" s="122"/>
      <c r="O1167" s="24"/>
      <c r="P1167" s="468"/>
      <c r="Q1167" s="35"/>
      <c r="R1167" s="19"/>
      <c r="S1167" s="557"/>
      <c r="T1167" s="2"/>
    </row>
    <row r="1168" spans="1:21" s="1" customFormat="1" ht="128.25" customHeight="1" x14ac:dyDescent="0.35">
      <c r="A1168" s="605"/>
      <c r="B1168" s="541"/>
      <c r="C1168" s="19" t="s">
        <v>182</v>
      </c>
      <c r="D1168" s="41" t="s">
        <v>111</v>
      </c>
      <c r="E1168" s="19" t="s">
        <v>18</v>
      </c>
      <c r="F1168" s="19">
        <v>100</v>
      </c>
      <c r="G1168" s="19">
        <v>100</v>
      </c>
      <c r="H1168" s="24">
        <f>IF(G1168/F1168*100&gt;100,100,G1168/F1168*100)</f>
        <v>100</v>
      </c>
      <c r="I1168" s="19"/>
      <c r="J1168" s="129"/>
      <c r="K1168" s="41"/>
      <c r="L1168" s="19"/>
      <c r="M1168" s="122"/>
      <c r="N1168" s="122"/>
      <c r="O1168" s="24"/>
      <c r="P1168" s="468"/>
      <c r="Q1168" s="35"/>
      <c r="R1168" s="19"/>
      <c r="S1168" s="557"/>
      <c r="T1168" s="2"/>
    </row>
    <row r="1169" spans="1:20" s="1" customFormat="1" ht="40.5" customHeight="1" x14ac:dyDescent="0.35">
      <c r="A1169" s="605"/>
      <c r="B1169" s="541"/>
      <c r="C1169" s="465"/>
      <c r="D1169" s="466" t="s">
        <v>644</v>
      </c>
      <c r="E1169" s="465"/>
      <c r="F1169" s="20"/>
      <c r="G1169" s="20"/>
      <c r="H1169" s="18"/>
      <c r="I1169" s="18">
        <f>(H1164+H1165+H1166+H1167+H1168)/5</f>
        <v>100</v>
      </c>
      <c r="J1169" s="128"/>
      <c r="K1169" s="466" t="s">
        <v>644</v>
      </c>
      <c r="L1169" s="20"/>
      <c r="M1169" s="124"/>
      <c r="N1169" s="124"/>
      <c r="O1169" s="18"/>
      <c r="P1169" s="18">
        <f>O1164</f>
        <v>102.22222222222221</v>
      </c>
      <c r="Q1169" s="18">
        <f>(I1169+P1169)/2</f>
        <v>101.11111111111111</v>
      </c>
      <c r="R1169" s="465" t="s">
        <v>25</v>
      </c>
      <c r="S1169" s="557"/>
      <c r="T1169" s="2"/>
    </row>
    <row r="1170" spans="1:20" s="1" customFormat="1" ht="75.75" customHeight="1" x14ac:dyDescent="0.35">
      <c r="A1170" s="605"/>
      <c r="B1170" s="541"/>
      <c r="C1170" s="454" t="s">
        <v>129</v>
      </c>
      <c r="D1170" s="59" t="s">
        <v>116</v>
      </c>
      <c r="E1170" s="19"/>
      <c r="F1170" s="19"/>
      <c r="G1170" s="19"/>
      <c r="H1170" s="35"/>
      <c r="I1170" s="35"/>
      <c r="J1170" s="454" t="s">
        <v>129</v>
      </c>
      <c r="K1170" s="59" t="str">
        <f>D1170</f>
        <v>Реализация основных общеобразовательных программ среднего общего образования</v>
      </c>
      <c r="L1170" s="19"/>
      <c r="M1170" s="122"/>
      <c r="N1170" s="122"/>
      <c r="O1170" s="35"/>
      <c r="P1170" s="468"/>
      <c r="Q1170" s="35"/>
      <c r="R1170" s="19"/>
      <c r="S1170" s="557"/>
      <c r="T1170" s="2"/>
    </row>
    <row r="1171" spans="1:20" s="1" customFormat="1" ht="80.25" customHeight="1" x14ac:dyDescent="0.35">
      <c r="A1171" s="605"/>
      <c r="B1171" s="541"/>
      <c r="C1171" s="19" t="s">
        <v>131</v>
      </c>
      <c r="D1171" s="41" t="s">
        <v>117</v>
      </c>
      <c r="E1171" s="19" t="s">
        <v>18</v>
      </c>
      <c r="F1171" s="19">
        <v>100</v>
      </c>
      <c r="G1171" s="19">
        <v>100</v>
      </c>
      <c r="H1171" s="24">
        <f>IF(G1171/F1171*100&gt;100,100,G1171/F1171*100)</f>
        <v>100</v>
      </c>
      <c r="I1171" s="19"/>
      <c r="J1171" s="129" t="s">
        <v>131</v>
      </c>
      <c r="K1171" s="41" t="s">
        <v>106</v>
      </c>
      <c r="L1171" s="19" t="s">
        <v>20</v>
      </c>
      <c r="M1171" s="19">
        <v>13</v>
      </c>
      <c r="N1171" s="19">
        <v>12</v>
      </c>
      <c r="O1171" s="24">
        <f>IF(N1171/M1171*100&gt;110,110,N1171/M1171*100)</f>
        <v>92.307692307692307</v>
      </c>
      <c r="P1171" s="19"/>
      <c r="Q1171" s="35"/>
      <c r="R1171" s="19"/>
      <c r="S1171" s="557"/>
      <c r="T1171" s="2"/>
    </row>
    <row r="1172" spans="1:20" s="1" customFormat="1" ht="33" customHeight="1" x14ac:dyDescent="0.35">
      <c r="A1172" s="605"/>
      <c r="B1172" s="541"/>
      <c r="C1172" s="19" t="s">
        <v>183</v>
      </c>
      <c r="D1172" s="41" t="s">
        <v>119</v>
      </c>
      <c r="E1172" s="19" t="s">
        <v>18</v>
      </c>
      <c r="F1172" s="19">
        <v>100</v>
      </c>
      <c r="G1172" s="19">
        <v>100</v>
      </c>
      <c r="H1172" s="24">
        <f>IF(G1172/F1172*100&gt;100,100,G1172/F1172*100)</f>
        <v>100</v>
      </c>
      <c r="I1172" s="19"/>
      <c r="J1172" s="129"/>
      <c r="K1172" s="41"/>
      <c r="L1172" s="19"/>
      <c r="M1172" s="122"/>
      <c r="N1172" s="122"/>
      <c r="O1172" s="24"/>
      <c r="P1172" s="468"/>
      <c r="Q1172" s="35"/>
      <c r="R1172" s="19"/>
      <c r="S1172" s="557"/>
      <c r="T1172" s="2"/>
    </row>
    <row r="1173" spans="1:20" s="1" customFormat="1" ht="56.25" customHeight="1" x14ac:dyDescent="0.35">
      <c r="A1173" s="605"/>
      <c r="B1173" s="541"/>
      <c r="C1173" s="19" t="s">
        <v>184</v>
      </c>
      <c r="D1173" s="41" t="s">
        <v>108</v>
      </c>
      <c r="E1173" s="19" t="s">
        <v>18</v>
      </c>
      <c r="F1173" s="19">
        <v>100</v>
      </c>
      <c r="G1173" s="19">
        <v>100</v>
      </c>
      <c r="H1173" s="24">
        <f>IF(G1173/F1173*100&gt;100,100,G1173/F1173*100)</f>
        <v>100</v>
      </c>
      <c r="I1173" s="19"/>
      <c r="J1173" s="129"/>
      <c r="K1173" s="41"/>
      <c r="L1173" s="19"/>
      <c r="M1173" s="122"/>
      <c r="N1173" s="122"/>
      <c r="O1173" s="24"/>
      <c r="P1173" s="468"/>
      <c r="Q1173" s="35"/>
      <c r="R1173" s="19"/>
      <c r="S1173" s="557"/>
      <c r="T1173" s="2"/>
    </row>
    <row r="1174" spans="1:20" s="1" customFormat="1" ht="83.25" customHeight="1" x14ac:dyDescent="0.35">
      <c r="A1174" s="605"/>
      <c r="B1174" s="541"/>
      <c r="C1174" s="19" t="s">
        <v>185</v>
      </c>
      <c r="D1174" s="41" t="s">
        <v>157</v>
      </c>
      <c r="E1174" s="19" t="s">
        <v>18</v>
      </c>
      <c r="F1174" s="19">
        <v>90</v>
      </c>
      <c r="G1174" s="19">
        <v>90</v>
      </c>
      <c r="H1174" s="24">
        <f>IF(G1174/F1174*100&gt;100,100,G1174/F1174*100)</f>
        <v>100</v>
      </c>
      <c r="I1174" s="19"/>
      <c r="J1174" s="129"/>
      <c r="K1174" s="41"/>
      <c r="L1174" s="19"/>
      <c r="M1174" s="122"/>
      <c r="N1174" s="122"/>
      <c r="O1174" s="24"/>
      <c r="P1174" s="468"/>
      <c r="Q1174" s="35"/>
      <c r="R1174" s="19"/>
      <c r="S1174" s="557"/>
      <c r="T1174" s="2"/>
    </row>
    <row r="1175" spans="1:20" s="1" customFormat="1" ht="122.25" customHeight="1" x14ac:dyDescent="0.35">
      <c r="A1175" s="605"/>
      <c r="B1175" s="541"/>
      <c r="C1175" s="19" t="s">
        <v>186</v>
      </c>
      <c r="D1175" s="41" t="s">
        <v>111</v>
      </c>
      <c r="E1175" s="19" t="s">
        <v>18</v>
      </c>
      <c r="F1175" s="19">
        <v>100</v>
      </c>
      <c r="G1175" s="19">
        <v>100</v>
      </c>
      <c r="H1175" s="24">
        <f>IF(G1175/F1175*100&gt;100,100,G1175/F1175*100)</f>
        <v>100</v>
      </c>
      <c r="I1175" s="19"/>
      <c r="J1175" s="129"/>
      <c r="K1175" s="41"/>
      <c r="L1175" s="19"/>
      <c r="M1175" s="122"/>
      <c r="N1175" s="122"/>
      <c r="O1175" s="24"/>
      <c r="P1175" s="468"/>
      <c r="Q1175" s="35"/>
      <c r="R1175" s="19"/>
      <c r="S1175" s="557"/>
      <c r="T1175" s="2"/>
    </row>
    <row r="1176" spans="1:20" s="1" customFormat="1" ht="40.5" customHeight="1" x14ac:dyDescent="0.35">
      <c r="A1176" s="605"/>
      <c r="B1176" s="541"/>
      <c r="C1176" s="465"/>
      <c r="D1176" s="466" t="s">
        <v>644</v>
      </c>
      <c r="E1176" s="465"/>
      <c r="F1176" s="20"/>
      <c r="G1176" s="20"/>
      <c r="H1176" s="18"/>
      <c r="I1176" s="18">
        <f>(H1171+H1172+H1173+H1174+H1175)/5</f>
        <v>100</v>
      </c>
      <c r="J1176" s="128"/>
      <c r="K1176" s="466" t="s">
        <v>644</v>
      </c>
      <c r="L1176" s="20"/>
      <c r="M1176" s="124"/>
      <c r="N1176" s="124"/>
      <c r="O1176" s="18"/>
      <c r="P1176" s="18">
        <f>O1171</f>
        <v>92.307692307692307</v>
      </c>
      <c r="Q1176" s="18">
        <f>(I1176+P1176)/2</f>
        <v>96.15384615384616</v>
      </c>
      <c r="R1176" s="465" t="s">
        <v>112</v>
      </c>
      <c r="S1176" s="557"/>
      <c r="T1176" s="2"/>
    </row>
    <row r="1177" spans="1:20" s="1" customFormat="1" ht="40.5" customHeight="1" x14ac:dyDescent="0.35">
      <c r="A1177" s="605"/>
      <c r="B1177" s="541"/>
      <c r="C1177" s="454" t="s">
        <v>140</v>
      </c>
      <c r="D1177" s="59" t="s">
        <v>27</v>
      </c>
      <c r="E1177" s="454"/>
      <c r="F1177" s="19"/>
      <c r="G1177" s="19"/>
      <c r="H1177" s="35"/>
      <c r="I1177" s="35"/>
      <c r="J1177" s="145" t="s">
        <v>140</v>
      </c>
      <c r="K1177" s="59" t="s">
        <v>27</v>
      </c>
      <c r="L1177" s="19"/>
      <c r="M1177" s="96"/>
      <c r="N1177" s="96"/>
      <c r="O1177" s="35"/>
      <c r="P1177" s="35"/>
      <c r="Q1177" s="35"/>
      <c r="R1177" s="454"/>
      <c r="S1177" s="557"/>
      <c r="T1177" s="2"/>
    </row>
    <row r="1178" spans="1:20" s="1" customFormat="1" ht="48" customHeight="1" x14ac:dyDescent="0.35">
      <c r="A1178" s="605"/>
      <c r="B1178" s="541"/>
      <c r="C1178" s="19" t="s">
        <v>187</v>
      </c>
      <c r="D1178" s="41" t="s">
        <v>125</v>
      </c>
      <c r="E1178" s="19" t="s">
        <v>18</v>
      </c>
      <c r="F1178" s="19">
        <v>100</v>
      </c>
      <c r="G1178" s="19">
        <v>100</v>
      </c>
      <c r="H1178" s="24">
        <f>IF(G1178/F1178*100&gt;100,100,G1178/F1178*100)</f>
        <v>100</v>
      </c>
      <c r="I1178" s="19"/>
      <c r="J1178" s="129" t="s">
        <v>142</v>
      </c>
      <c r="K1178" s="41" t="s">
        <v>106</v>
      </c>
      <c r="L1178" s="19" t="s">
        <v>20</v>
      </c>
      <c r="M1178" s="19">
        <v>15</v>
      </c>
      <c r="N1178" s="19">
        <v>15</v>
      </c>
      <c r="O1178" s="24">
        <f>IF(N1178/M1178*100&gt;110,110,N1178/M1178*100)</f>
        <v>100</v>
      </c>
      <c r="P1178" s="468"/>
      <c r="Q1178" s="35"/>
      <c r="R1178" s="19"/>
      <c r="S1178" s="557"/>
      <c r="T1178" s="2"/>
    </row>
    <row r="1179" spans="1:20" s="1" customFormat="1" ht="91.5" customHeight="1" x14ac:dyDescent="0.35">
      <c r="A1179" s="605"/>
      <c r="B1179" s="541"/>
      <c r="C1179" s="19" t="s">
        <v>188</v>
      </c>
      <c r="D1179" s="41" t="s">
        <v>128</v>
      </c>
      <c r="E1179" s="19" t="s">
        <v>18</v>
      </c>
      <c r="F1179" s="19">
        <v>90</v>
      </c>
      <c r="G1179" s="19">
        <v>90</v>
      </c>
      <c r="H1179" s="24">
        <f>IF(G1179/F1179*100&gt;100,100,G1179/F1179*100)</f>
        <v>100</v>
      </c>
      <c r="I1179" s="19"/>
      <c r="J1179" s="129"/>
      <c r="K1179" s="41"/>
      <c r="L1179" s="19"/>
      <c r="M1179" s="122"/>
      <c r="N1179" s="122"/>
      <c r="O1179" s="24"/>
      <c r="P1179" s="468"/>
      <c r="Q1179" s="35"/>
      <c r="R1179" s="19"/>
      <c r="S1179" s="557"/>
      <c r="T1179" s="2"/>
    </row>
    <row r="1180" spans="1:20" s="1" customFormat="1" ht="40.5" customHeight="1" x14ac:dyDescent="0.35">
      <c r="A1180" s="605"/>
      <c r="B1180" s="541"/>
      <c r="C1180" s="465"/>
      <c r="D1180" s="466" t="s">
        <v>644</v>
      </c>
      <c r="E1180" s="465"/>
      <c r="F1180" s="20"/>
      <c r="G1180" s="20"/>
      <c r="H1180" s="18"/>
      <c r="I1180" s="18">
        <f>H1179</f>
        <v>100</v>
      </c>
      <c r="J1180" s="128"/>
      <c r="K1180" s="466" t="s">
        <v>644</v>
      </c>
      <c r="L1180" s="20"/>
      <c r="M1180" s="124"/>
      <c r="N1180" s="124"/>
      <c r="O1180" s="18"/>
      <c r="P1180" s="18">
        <f>O1178</f>
        <v>100</v>
      </c>
      <c r="Q1180" s="18">
        <f>(I1180+P1180)/2</f>
        <v>100</v>
      </c>
      <c r="R1180" s="465" t="s">
        <v>25</v>
      </c>
      <c r="S1180" s="557"/>
      <c r="T1180" s="2"/>
    </row>
    <row r="1181" spans="1:20" s="1" customFormat="1" ht="58.5" customHeight="1" x14ac:dyDescent="0.35">
      <c r="A1181" s="605"/>
      <c r="B1181" s="541"/>
      <c r="C1181" s="454" t="s">
        <v>144</v>
      </c>
      <c r="D1181" s="59" t="s">
        <v>130</v>
      </c>
      <c r="E1181" s="19"/>
      <c r="F1181" s="19"/>
      <c r="G1181" s="19"/>
      <c r="H1181" s="35"/>
      <c r="I1181" s="35"/>
      <c r="J1181" s="454" t="str">
        <f>C1181</f>
        <v>VII</v>
      </c>
      <c r="K1181" s="59" t="str">
        <f>D1181</f>
        <v>Реализация дополнительных общеразвивающих программ</v>
      </c>
      <c r="L1181" s="19"/>
      <c r="M1181" s="122"/>
      <c r="N1181" s="122"/>
      <c r="O1181" s="35"/>
      <c r="P1181" s="468"/>
      <c r="Q1181" s="35"/>
      <c r="R1181" s="19"/>
      <c r="S1181" s="557"/>
      <c r="T1181" s="2"/>
    </row>
    <row r="1182" spans="1:20" s="1" customFormat="1" ht="87.75" customHeight="1" x14ac:dyDescent="0.35">
      <c r="A1182" s="605"/>
      <c r="B1182" s="541"/>
      <c r="C1182" s="19" t="s">
        <v>146</v>
      </c>
      <c r="D1182" s="41" t="s">
        <v>128</v>
      </c>
      <c r="E1182" s="19" t="s">
        <v>18</v>
      </c>
      <c r="F1182" s="19">
        <v>90</v>
      </c>
      <c r="G1182" s="19">
        <v>90</v>
      </c>
      <c r="H1182" s="24">
        <f>IF(G1182/F1182*100&gt;100,100,G1182/F1182*100)</f>
        <v>100</v>
      </c>
      <c r="I1182" s="19"/>
      <c r="J1182" s="19" t="str">
        <f>C1182</f>
        <v>7.1.</v>
      </c>
      <c r="K1182" s="41" t="s">
        <v>136</v>
      </c>
      <c r="L1182" s="19" t="s">
        <v>139</v>
      </c>
      <c r="M1182" s="19">
        <v>8812.7999999999993</v>
      </c>
      <c r="N1182" s="19">
        <v>8812.7999999999993</v>
      </c>
      <c r="O1182" s="24">
        <f>IF(N1182/M1182*100&gt;110,110,N1182/M1182*100)</f>
        <v>100</v>
      </c>
      <c r="P1182" s="468"/>
      <c r="Q1182" s="35"/>
      <c r="R1182" s="19"/>
      <c r="S1182" s="557"/>
      <c r="T1182" s="2"/>
    </row>
    <row r="1183" spans="1:20" s="1" customFormat="1" ht="45.75" customHeight="1" x14ac:dyDescent="0.35">
      <c r="A1183" s="605"/>
      <c r="B1183" s="541"/>
      <c r="C1183" s="20"/>
      <c r="D1183" s="466" t="s">
        <v>644</v>
      </c>
      <c r="E1183" s="465"/>
      <c r="F1183" s="20"/>
      <c r="G1183" s="20"/>
      <c r="H1183" s="18"/>
      <c r="I1183" s="18">
        <f>H1182</f>
        <v>100</v>
      </c>
      <c r="J1183" s="128"/>
      <c r="K1183" s="466" t="s">
        <v>644</v>
      </c>
      <c r="L1183" s="20"/>
      <c r="M1183" s="124"/>
      <c r="N1183" s="124"/>
      <c r="O1183" s="18"/>
      <c r="P1183" s="18">
        <f>O1182</f>
        <v>100</v>
      </c>
      <c r="Q1183" s="18">
        <f>(I1183+P1183)/2</f>
        <v>100</v>
      </c>
      <c r="R1183" s="465" t="s">
        <v>25</v>
      </c>
      <c r="S1183" s="557"/>
      <c r="T1183" s="2"/>
    </row>
    <row r="1184" spans="1:20" s="1" customFormat="1" ht="81" customHeight="1" x14ac:dyDescent="0.35">
      <c r="A1184" s="605">
        <v>58</v>
      </c>
      <c r="B1184" s="541" t="s">
        <v>189</v>
      </c>
      <c r="C1184" s="454" t="s">
        <v>13</v>
      </c>
      <c r="D1184" s="59" t="s">
        <v>103</v>
      </c>
      <c r="E1184" s="454"/>
      <c r="F1184" s="454"/>
      <c r="G1184" s="454"/>
      <c r="H1184" s="35"/>
      <c r="I1184" s="35"/>
      <c r="J1184" s="454" t="s">
        <v>13</v>
      </c>
      <c r="K1184" s="59" t="s">
        <v>103</v>
      </c>
      <c r="L1184" s="19"/>
      <c r="M1184" s="19"/>
      <c r="N1184" s="19"/>
      <c r="O1184" s="35"/>
      <c r="P1184" s="468"/>
      <c r="Q1184" s="35"/>
      <c r="R1184" s="19"/>
      <c r="S1184" s="557" t="s">
        <v>15</v>
      </c>
      <c r="T1184" s="2"/>
    </row>
    <row r="1185" spans="1:20" s="1" customFormat="1" ht="80.25" customHeight="1" x14ac:dyDescent="0.35">
      <c r="A1185" s="605"/>
      <c r="B1185" s="541"/>
      <c r="C1185" s="19" t="s">
        <v>16</v>
      </c>
      <c r="D1185" s="41" t="s">
        <v>105</v>
      </c>
      <c r="E1185" s="19" t="s">
        <v>18</v>
      </c>
      <c r="F1185" s="19">
        <v>100</v>
      </c>
      <c r="G1185" s="19">
        <v>100</v>
      </c>
      <c r="H1185" s="24">
        <f>IF(G1185/F1185*100&gt;100,100,G1185/F1185*100)</f>
        <v>100</v>
      </c>
      <c r="I1185" s="19"/>
      <c r="J1185" s="19" t="s">
        <v>16</v>
      </c>
      <c r="K1185" s="41" t="s">
        <v>106</v>
      </c>
      <c r="L1185" s="19" t="s">
        <v>20</v>
      </c>
      <c r="M1185" s="19">
        <v>197</v>
      </c>
      <c r="N1185" s="19">
        <v>197</v>
      </c>
      <c r="O1185" s="24">
        <f>IF(N1185/M1185*100&gt;110,110,N1185/M1185*100)</f>
        <v>100</v>
      </c>
      <c r="P1185" s="468"/>
      <c r="Q1185" s="35"/>
      <c r="R1185" s="19"/>
      <c r="S1185" s="557"/>
      <c r="T1185" s="2"/>
    </row>
    <row r="1186" spans="1:20" s="1" customFormat="1" x14ac:dyDescent="0.35">
      <c r="A1186" s="605"/>
      <c r="B1186" s="541"/>
      <c r="C1186" s="19" t="s">
        <v>21</v>
      </c>
      <c r="D1186" s="41" t="s">
        <v>135</v>
      </c>
      <c r="E1186" s="19" t="s">
        <v>18</v>
      </c>
      <c r="F1186" s="19">
        <v>100</v>
      </c>
      <c r="G1186" s="19">
        <v>100</v>
      </c>
      <c r="H1186" s="24">
        <f>IF(G1186/F1186*100&gt;100,100,G1186/F1186*100)</f>
        <v>100</v>
      </c>
      <c r="I1186" s="19"/>
      <c r="J1186" s="19"/>
      <c r="K1186" s="455"/>
      <c r="L1186" s="19"/>
      <c r="M1186" s="476"/>
      <c r="N1186" s="476"/>
      <c r="O1186" s="24"/>
      <c r="P1186" s="468"/>
      <c r="Q1186" s="35"/>
      <c r="R1186" s="19"/>
      <c r="S1186" s="557"/>
      <c r="T1186" s="2"/>
    </row>
    <row r="1187" spans="1:20" s="1" customFormat="1" ht="60" customHeight="1" x14ac:dyDescent="0.35">
      <c r="A1187" s="605"/>
      <c r="B1187" s="541"/>
      <c r="C1187" s="19" t="s">
        <v>23</v>
      </c>
      <c r="D1187" s="41" t="s">
        <v>108</v>
      </c>
      <c r="E1187" s="19" t="s">
        <v>18</v>
      </c>
      <c r="F1187" s="19">
        <v>100</v>
      </c>
      <c r="G1187" s="19">
        <v>100</v>
      </c>
      <c r="H1187" s="24">
        <f>IF(G1187/F1187*100&gt;100,100,G1187/F1187*100)</f>
        <v>100</v>
      </c>
      <c r="I1187" s="19"/>
      <c r="J1187" s="129"/>
      <c r="K1187" s="41"/>
      <c r="L1187" s="19"/>
      <c r="M1187" s="122"/>
      <c r="N1187" s="122"/>
      <c r="O1187" s="24"/>
      <c r="P1187" s="468"/>
      <c r="Q1187" s="35"/>
      <c r="R1187" s="19"/>
      <c r="S1187" s="557"/>
      <c r="T1187" s="2"/>
    </row>
    <row r="1188" spans="1:20" s="1" customFormat="1" ht="76.5" customHeight="1" x14ac:dyDescent="0.35">
      <c r="A1188" s="605"/>
      <c r="B1188" s="541"/>
      <c r="C1188" s="19" t="s">
        <v>109</v>
      </c>
      <c r="D1188" s="41" t="s">
        <v>157</v>
      </c>
      <c r="E1188" s="19" t="s">
        <v>18</v>
      </c>
      <c r="F1188" s="19">
        <v>90</v>
      </c>
      <c r="G1188" s="19">
        <v>100</v>
      </c>
      <c r="H1188" s="24">
        <f>IF(G1188/F1188*100&gt;100,100,G1188/F1188*100)</f>
        <v>100</v>
      </c>
      <c r="I1188" s="19"/>
      <c r="J1188" s="129"/>
      <c r="K1188" s="41"/>
      <c r="L1188" s="19"/>
      <c r="M1188" s="122"/>
      <c r="N1188" s="122"/>
      <c r="O1188" s="24"/>
      <c r="P1188" s="468"/>
      <c r="Q1188" s="35"/>
      <c r="R1188" s="19"/>
      <c r="S1188" s="557"/>
      <c r="T1188" s="2"/>
    </row>
    <row r="1189" spans="1:20" s="1" customFormat="1" ht="126" customHeight="1" x14ac:dyDescent="0.35">
      <c r="A1189" s="605"/>
      <c r="B1189" s="541"/>
      <c r="C1189" s="19" t="s">
        <v>110</v>
      </c>
      <c r="D1189" s="41" t="s">
        <v>111</v>
      </c>
      <c r="E1189" s="19" t="s">
        <v>18</v>
      </c>
      <c r="F1189" s="19">
        <v>100</v>
      </c>
      <c r="G1189" s="19">
        <v>100</v>
      </c>
      <c r="H1189" s="24">
        <f>IF(G1189/F1189*100&gt;100,100,G1189/F1189*100)</f>
        <v>100</v>
      </c>
      <c r="I1189" s="19"/>
      <c r="J1189" s="129"/>
      <c r="K1189" s="41"/>
      <c r="L1189" s="19"/>
      <c r="M1189" s="122"/>
      <c r="N1189" s="122"/>
      <c r="O1189" s="24"/>
      <c r="P1189" s="468"/>
      <c r="Q1189" s="35"/>
      <c r="R1189" s="19"/>
      <c r="S1189" s="557"/>
      <c r="T1189" s="2"/>
    </row>
    <row r="1190" spans="1:20" s="1" customFormat="1" ht="40.5" customHeight="1" x14ac:dyDescent="0.35">
      <c r="A1190" s="605"/>
      <c r="B1190" s="541"/>
      <c r="C1190" s="465"/>
      <c r="D1190" s="466" t="s">
        <v>644</v>
      </c>
      <c r="E1190" s="465"/>
      <c r="F1190" s="20"/>
      <c r="G1190" s="20"/>
      <c r="H1190" s="18"/>
      <c r="I1190" s="18">
        <f>(H1185+H1186+H1187+H1188+H1189)/5</f>
        <v>100</v>
      </c>
      <c r="J1190" s="128"/>
      <c r="K1190" s="466" t="s">
        <v>644</v>
      </c>
      <c r="L1190" s="20"/>
      <c r="M1190" s="124"/>
      <c r="N1190" s="124"/>
      <c r="O1190" s="18"/>
      <c r="P1190" s="18">
        <f>O1185</f>
        <v>100</v>
      </c>
      <c r="Q1190" s="18">
        <f>(I1190+P1190)/2</f>
        <v>100</v>
      </c>
      <c r="R1190" s="465" t="s">
        <v>25</v>
      </c>
      <c r="S1190" s="557"/>
      <c r="T1190" s="2"/>
    </row>
    <row r="1191" spans="1:20" s="1" customFormat="1" ht="78.75" customHeight="1" x14ac:dyDescent="0.35">
      <c r="A1191" s="605"/>
      <c r="B1191" s="541"/>
      <c r="C1191" s="454" t="s">
        <v>26</v>
      </c>
      <c r="D1191" s="59" t="s">
        <v>113</v>
      </c>
      <c r="E1191" s="19"/>
      <c r="F1191" s="19"/>
      <c r="G1191" s="19"/>
      <c r="H1191" s="35"/>
      <c r="I1191" s="35"/>
      <c r="J1191" s="454" t="s">
        <v>26</v>
      </c>
      <c r="K1191" s="59" t="s">
        <v>113</v>
      </c>
      <c r="L1191" s="19"/>
      <c r="M1191" s="122"/>
      <c r="N1191" s="122"/>
      <c r="O1191" s="35"/>
      <c r="P1191" s="468"/>
      <c r="Q1191" s="35"/>
      <c r="R1191" s="19"/>
      <c r="S1191" s="557"/>
      <c r="T1191" s="2"/>
    </row>
    <row r="1192" spans="1:20" s="1" customFormat="1" ht="78.75" customHeight="1" x14ac:dyDescent="0.35">
      <c r="A1192" s="605"/>
      <c r="B1192" s="541"/>
      <c r="C1192" s="19" t="s">
        <v>28</v>
      </c>
      <c r="D1192" s="41" t="s">
        <v>114</v>
      </c>
      <c r="E1192" s="19" t="s">
        <v>18</v>
      </c>
      <c r="F1192" s="19">
        <v>100</v>
      </c>
      <c r="G1192" s="19">
        <v>100</v>
      </c>
      <c r="H1192" s="24">
        <f>IF(G1192/F1192*100&gt;100,100,G1192/F1192*100)</f>
        <v>100</v>
      </c>
      <c r="I1192" s="19"/>
      <c r="J1192" s="129" t="s">
        <v>28</v>
      </c>
      <c r="K1192" s="41" t="s">
        <v>106</v>
      </c>
      <c r="L1192" s="19" t="s">
        <v>20</v>
      </c>
      <c r="M1192" s="19">
        <v>224</v>
      </c>
      <c r="N1192" s="19">
        <v>224</v>
      </c>
      <c r="O1192" s="24">
        <f>IF(N1192/M1192*100&gt;110,110,N1192/M1192*100)</f>
        <v>100</v>
      </c>
      <c r="P1192" s="19"/>
      <c r="Q1192" s="35"/>
      <c r="R1192" s="19"/>
      <c r="S1192" s="557"/>
      <c r="T1192" s="2"/>
    </row>
    <row r="1193" spans="1:20" s="1" customFormat="1" x14ac:dyDescent="0.35">
      <c r="A1193" s="605"/>
      <c r="B1193" s="541"/>
      <c r="C1193" s="19" t="s">
        <v>30</v>
      </c>
      <c r="D1193" s="41" t="s">
        <v>115</v>
      </c>
      <c r="E1193" s="19" t="s">
        <v>18</v>
      </c>
      <c r="F1193" s="19">
        <v>100</v>
      </c>
      <c r="G1193" s="19">
        <v>100</v>
      </c>
      <c r="H1193" s="24">
        <f>IF(G1193/F1193*100&gt;100,100,G1193/F1193*100)</f>
        <v>100</v>
      </c>
      <c r="I1193" s="19"/>
      <c r="J1193" s="129"/>
      <c r="K1193" s="41"/>
      <c r="L1193" s="19"/>
      <c r="M1193" s="122"/>
      <c r="N1193" s="122"/>
      <c r="O1193" s="24"/>
      <c r="P1193" s="468"/>
      <c r="Q1193" s="35"/>
      <c r="R1193" s="19"/>
      <c r="S1193" s="557"/>
      <c r="T1193" s="2"/>
    </row>
    <row r="1194" spans="1:20" s="1" customFormat="1" ht="43.5" customHeight="1" x14ac:dyDescent="0.35">
      <c r="A1194" s="605"/>
      <c r="B1194" s="541"/>
      <c r="C1194" s="19" t="s">
        <v>34</v>
      </c>
      <c r="D1194" s="41" t="s">
        <v>108</v>
      </c>
      <c r="E1194" s="19" t="s">
        <v>18</v>
      </c>
      <c r="F1194" s="19">
        <v>100</v>
      </c>
      <c r="G1194" s="19">
        <v>100</v>
      </c>
      <c r="H1194" s="24">
        <f>IF(G1194/F1194*100&gt;100,100,G1194/F1194*100)</f>
        <v>100</v>
      </c>
      <c r="I1194" s="19"/>
      <c r="J1194" s="129"/>
      <c r="K1194" s="41"/>
      <c r="L1194" s="19"/>
      <c r="M1194" s="122"/>
      <c r="N1194" s="122"/>
      <c r="O1194" s="24"/>
      <c r="P1194" s="468"/>
      <c r="Q1194" s="35"/>
      <c r="R1194" s="19"/>
      <c r="S1194" s="557"/>
      <c r="T1194" s="2"/>
    </row>
    <row r="1195" spans="1:20" s="1" customFormat="1" ht="71.25" customHeight="1" x14ac:dyDescent="0.35">
      <c r="A1195" s="605"/>
      <c r="B1195" s="541"/>
      <c r="C1195" s="19" t="s">
        <v>78</v>
      </c>
      <c r="D1195" s="41" t="s">
        <v>157</v>
      </c>
      <c r="E1195" s="19" t="s">
        <v>18</v>
      </c>
      <c r="F1195" s="19">
        <v>90</v>
      </c>
      <c r="G1195" s="19">
        <v>100</v>
      </c>
      <c r="H1195" s="24">
        <f>IF(G1195/F1195*100&gt;100,100,G1195/F1195*100)</f>
        <v>100</v>
      </c>
      <c r="I1195" s="19"/>
      <c r="J1195" s="129"/>
      <c r="K1195" s="41"/>
      <c r="L1195" s="19"/>
      <c r="M1195" s="122"/>
      <c r="N1195" s="122"/>
      <c r="O1195" s="24"/>
      <c r="P1195" s="468"/>
      <c r="Q1195" s="35"/>
      <c r="R1195" s="19"/>
      <c r="S1195" s="557"/>
      <c r="T1195" s="2"/>
    </row>
    <row r="1196" spans="1:20" s="1" customFormat="1" ht="129.75" customHeight="1" x14ac:dyDescent="0.35">
      <c r="A1196" s="605"/>
      <c r="B1196" s="541"/>
      <c r="C1196" s="19" t="s">
        <v>79</v>
      </c>
      <c r="D1196" s="41" t="s">
        <v>111</v>
      </c>
      <c r="E1196" s="19" t="s">
        <v>18</v>
      </c>
      <c r="F1196" s="19">
        <v>100</v>
      </c>
      <c r="G1196" s="19">
        <v>100</v>
      </c>
      <c r="H1196" s="24">
        <f>IF(G1196/F1196*100&gt;100,100,G1196/F1196*100)</f>
        <v>100</v>
      </c>
      <c r="I1196" s="19"/>
      <c r="J1196" s="129"/>
      <c r="K1196" s="41"/>
      <c r="L1196" s="19"/>
      <c r="M1196" s="122"/>
      <c r="N1196" s="122"/>
      <c r="O1196" s="24"/>
      <c r="P1196" s="468"/>
      <c r="Q1196" s="35"/>
      <c r="R1196" s="19"/>
      <c r="S1196" s="557"/>
      <c r="T1196" s="2"/>
    </row>
    <row r="1197" spans="1:20" s="1" customFormat="1" ht="40.5" customHeight="1" x14ac:dyDescent="0.35">
      <c r="A1197" s="605"/>
      <c r="B1197" s="541"/>
      <c r="C1197" s="465"/>
      <c r="D1197" s="466" t="s">
        <v>644</v>
      </c>
      <c r="E1197" s="465"/>
      <c r="F1197" s="20"/>
      <c r="G1197" s="20"/>
      <c r="H1197" s="18"/>
      <c r="I1197" s="18">
        <f>(H1192+H1193+H1194+H1195+H1196)/5</f>
        <v>100</v>
      </c>
      <c r="J1197" s="128"/>
      <c r="K1197" s="466" t="s">
        <v>644</v>
      </c>
      <c r="L1197" s="20"/>
      <c r="M1197" s="124"/>
      <c r="N1197" s="124"/>
      <c r="O1197" s="18"/>
      <c r="P1197" s="18">
        <f>O1192</f>
        <v>100</v>
      </c>
      <c r="Q1197" s="18">
        <f>(I1197+P1197)/2</f>
        <v>100</v>
      </c>
      <c r="R1197" s="465" t="s">
        <v>25</v>
      </c>
      <c r="S1197" s="557"/>
      <c r="T1197" s="2"/>
    </row>
    <row r="1198" spans="1:20" s="1" customFormat="1" ht="77.25" customHeight="1" x14ac:dyDescent="0.35">
      <c r="A1198" s="605"/>
      <c r="B1198" s="541"/>
      <c r="C1198" s="454" t="s">
        <v>36</v>
      </c>
      <c r="D1198" s="59" t="s">
        <v>116</v>
      </c>
      <c r="E1198" s="19"/>
      <c r="F1198" s="19"/>
      <c r="G1198" s="19"/>
      <c r="H1198" s="35"/>
      <c r="I1198" s="35"/>
      <c r="J1198" s="454" t="s">
        <v>36</v>
      </c>
      <c r="K1198" s="59" t="str">
        <f>D1198</f>
        <v>Реализация основных общеобразовательных программ среднего общего образования</v>
      </c>
      <c r="L1198" s="19"/>
      <c r="M1198" s="122"/>
      <c r="N1198" s="122"/>
      <c r="O1198" s="35"/>
      <c r="P1198" s="468"/>
      <c r="Q1198" s="35"/>
      <c r="R1198" s="19"/>
      <c r="S1198" s="557"/>
      <c r="T1198" s="2"/>
    </row>
    <row r="1199" spans="1:20" s="1" customFormat="1" ht="66" customHeight="1" x14ac:dyDescent="0.35">
      <c r="A1199" s="605"/>
      <c r="B1199" s="541"/>
      <c r="C1199" s="19" t="s">
        <v>38</v>
      </c>
      <c r="D1199" s="41" t="s">
        <v>117</v>
      </c>
      <c r="E1199" s="19" t="s">
        <v>18</v>
      </c>
      <c r="F1199" s="19">
        <v>100</v>
      </c>
      <c r="G1199" s="19">
        <v>100</v>
      </c>
      <c r="H1199" s="24">
        <f>IF(G1199/F1199*100&gt;100,100,G1199/F1199*100)</f>
        <v>100</v>
      </c>
      <c r="I1199" s="19"/>
      <c r="J1199" s="129" t="s">
        <v>38</v>
      </c>
      <c r="K1199" s="41" t="s">
        <v>106</v>
      </c>
      <c r="L1199" s="19" t="s">
        <v>20</v>
      </c>
      <c r="M1199" s="19">
        <v>41</v>
      </c>
      <c r="N1199" s="19">
        <v>41</v>
      </c>
      <c r="O1199" s="24">
        <f>IF(N1199/M1199*100&gt;110,110,N1199/M1199*100)</f>
        <v>100</v>
      </c>
      <c r="P1199" s="19"/>
      <c r="Q1199" s="35"/>
      <c r="R1199" s="19"/>
      <c r="S1199" s="557"/>
      <c r="T1199" s="2"/>
    </row>
    <row r="1200" spans="1:20" s="1" customFormat="1" x14ac:dyDescent="0.35">
      <c r="A1200" s="605"/>
      <c r="B1200" s="541"/>
      <c r="C1200" s="19" t="s">
        <v>118</v>
      </c>
      <c r="D1200" s="41" t="s">
        <v>119</v>
      </c>
      <c r="E1200" s="19" t="s">
        <v>18</v>
      </c>
      <c r="F1200" s="19">
        <v>100</v>
      </c>
      <c r="G1200" s="19">
        <v>100</v>
      </c>
      <c r="H1200" s="24">
        <f>IF(G1200/F1200*100&gt;100,100,G1200/F1200*100)</f>
        <v>100</v>
      </c>
      <c r="I1200" s="19"/>
      <c r="J1200" s="129"/>
      <c r="K1200" s="41"/>
      <c r="L1200" s="19"/>
      <c r="M1200" s="122"/>
      <c r="N1200" s="122"/>
      <c r="O1200" s="24"/>
      <c r="P1200" s="468"/>
      <c r="Q1200" s="35"/>
      <c r="R1200" s="19"/>
      <c r="S1200" s="557"/>
      <c r="T1200" s="2"/>
    </row>
    <row r="1201" spans="1:20" s="1" customFormat="1" ht="54.75" customHeight="1" x14ac:dyDescent="0.35">
      <c r="A1201" s="605"/>
      <c r="B1201" s="541"/>
      <c r="C1201" s="19" t="s">
        <v>120</v>
      </c>
      <c r="D1201" s="41" t="s">
        <v>108</v>
      </c>
      <c r="E1201" s="19" t="s">
        <v>18</v>
      </c>
      <c r="F1201" s="19">
        <v>100</v>
      </c>
      <c r="G1201" s="19">
        <v>100</v>
      </c>
      <c r="H1201" s="24">
        <f>IF(G1201/F1201*100&gt;100,100,G1201/F1201*100)</f>
        <v>100</v>
      </c>
      <c r="I1201" s="19"/>
      <c r="J1201" s="129"/>
      <c r="K1201" s="41"/>
      <c r="L1201" s="19"/>
      <c r="M1201" s="122"/>
      <c r="N1201" s="122"/>
      <c r="O1201" s="24"/>
      <c r="P1201" s="468"/>
      <c r="Q1201" s="35"/>
      <c r="R1201" s="19"/>
      <c r="S1201" s="557"/>
      <c r="T1201" s="2"/>
    </row>
    <row r="1202" spans="1:20" s="1" customFormat="1" ht="86.25" customHeight="1" x14ac:dyDescent="0.35">
      <c r="A1202" s="605"/>
      <c r="B1202" s="541"/>
      <c r="C1202" s="19" t="s">
        <v>121</v>
      </c>
      <c r="D1202" s="41" t="s">
        <v>157</v>
      </c>
      <c r="E1202" s="19" t="s">
        <v>18</v>
      </c>
      <c r="F1202" s="19">
        <v>90</v>
      </c>
      <c r="G1202" s="19">
        <v>100</v>
      </c>
      <c r="H1202" s="24">
        <f>IF(G1202/F1202*100&gt;100,100,G1202/F1202*100)</f>
        <v>100</v>
      </c>
      <c r="I1202" s="19"/>
      <c r="J1202" s="129"/>
      <c r="K1202" s="41"/>
      <c r="L1202" s="19"/>
      <c r="M1202" s="122"/>
      <c r="N1202" s="122"/>
      <c r="O1202" s="24"/>
      <c r="P1202" s="468"/>
      <c r="Q1202" s="35"/>
      <c r="R1202" s="19"/>
      <c r="S1202" s="557"/>
      <c r="T1202" s="2"/>
    </row>
    <row r="1203" spans="1:20" s="1" customFormat="1" ht="126" customHeight="1" x14ac:dyDescent="0.35">
      <c r="A1203" s="605"/>
      <c r="B1203" s="541"/>
      <c r="C1203" s="19" t="s">
        <v>122</v>
      </c>
      <c r="D1203" s="41" t="s">
        <v>111</v>
      </c>
      <c r="E1203" s="19" t="s">
        <v>18</v>
      </c>
      <c r="F1203" s="19">
        <v>100</v>
      </c>
      <c r="G1203" s="19">
        <v>100</v>
      </c>
      <c r="H1203" s="24">
        <f>IF(G1203/F1203*100&gt;100,100,G1203/F1203*100)</f>
        <v>100</v>
      </c>
      <c r="I1203" s="19"/>
      <c r="J1203" s="129"/>
      <c r="K1203" s="41"/>
      <c r="L1203" s="19"/>
      <c r="M1203" s="122"/>
      <c r="N1203" s="122"/>
      <c r="O1203" s="24"/>
      <c r="P1203" s="468"/>
      <c r="Q1203" s="35"/>
      <c r="R1203" s="19"/>
      <c r="S1203" s="557"/>
      <c r="T1203" s="2"/>
    </row>
    <row r="1204" spans="1:20" s="1" customFormat="1" ht="40.5" customHeight="1" x14ac:dyDescent="0.35">
      <c r="A1204" s="605"/>
      <c r="B1204" s="541"/>
      <c r="C1204" s="465"/>
      <c r="D1204" s="466" t="s">
        <v>644</v>
      </c>
      <c r="E1204" s="465"/>
      <c r="F1204" s="20"/>
      <c r="G1204" s="20"/>
      <c r="H1204" s="18"/>
      <c r="I1204" s="18">
        <f>(H1199+H1200+H1201+H1202+H1203)/5</f>
        <v>100</v>
      </c>
      <c r="J1204" s="128"/>
      <c r="K1204" s="466" t="s">
        <v>644</v>
      </c>
      <c r="L1204" s="20"/>
      <c r="M1204" s="124"/>
      <c r="N1204" s="124"/>
      <c r="O1204" s="18"/>
      <c r="P1204" s="18">
        <f>O1199</f>
        <v>100</v>
      </c>
      <c r="Q1204" s="18">
        <f>(I1204+P1204)/2</f>
        <v>100</v>
      </c>
      <c r="R1204" s="465" t="s">
        <v>25</v>
      </c>
      <c r="S1204" s="557"/>
      <c r="T1204" s="2"/>
    </row>
    <row r="1205" spans="1:20" s="1" customFormat="1" x14ac:dyDescent="0.35">
      <c r="A1205" s="605"/>
      <c r="B1205" s="541"/>
      <c r="C1205" s="454" t="s">
        <v>123</v>
      </c>
      <c r="D1205" s="59" t="s">
        <v>27</v>
      </c>
      <c r="E1205" s="19"/>
      <c r="F1205" s="19"/>
      <c r="G1205" s="19"/>
      <c r="H1205" s="35"/>
      <c r="I1205" s="35"/>
      <c r="J1205" s="454" t="s">
        <v>123</v>
      </c>
      <c r="K1205" s="59" t="s">
        <v>27</v>
      </c>
      <c r="L1205" s="19"/>
      <c r="M1205" s="122"/>
      <c r="N1205" s="122"/>
      <c r="O1205" s="35"/>
      <c r="P1205" s="468"/>
      <c r="Q1205" s="35"/>
      <c r="R1205" s="19"/>
      <c r="S1205" s="557"/>
      <c r="T1205" s="2"/>
    </row>
    <row r="1206" spans="1:20" s="1" customFormat="1" ht="45.75" customHeight="1" x14ac:dyDescent="0.35">
      <c r="A1206" s="605"/>
      <c r="B1206" s="541"/>
      <c r="C1206" s="19" t="s">
        <v>124</v>
      </c>
      <c r="D1206" s="41" t="s">
        <v>125</v>
      </c>
      <c r="E1206" s="19" t="s">
        <v>18</v>
      </c>
      <c r="F1206" s="19">
        <v>100</v>
      </c>
      <c r="G1206" s="19">
        <v>100</v>
      </c>
      <c r="H1206" s="24">
        <f>IF(G1206/F1206*100&gt;100,100,G1206/F1206*100)</f>
        <v>100</v>
      </c>
      <c r="I1206" s="19"/>
      <c r="J1206" s="129" t="s">
        <v>124</v>
      </c>
      <c r="K1206" s="41" t="s">
        <v>106</v>
      </c>
      <c r="L1206" s="19" t="s">
        <v>20</v>
      </c>
      <c r="M1206" s="19">
        <v>46</v>
      </c>
      <c r="N1206" s="19">
        <v>46</v>
      </c>
      <c r="O1206" s="24">
        <f>IF(N1206/M1206*100&gt;110,110,N1206/M1206*100)</f>
        <v>100</v>
      </c>
      <c r="P1206" s="468"/>
      <c r="Q1206" s="35"/>
      <c r="R1206" s="19"/>
      <c r="S1206" s="557"/>
      <c r="T1206" s="2"/>
    </row>
    <row r="1207" spans="1:20" s="1" customFormat="1" ht="78.75" customHeight="1" x14ac:dyDescent="0.35">
      <c r="A1207" s="605"/>
      <c r="B1207" s="541"/>
      <c r="C1207" s="19" t="s">
        <v>127</v>
      </c>
      <c r="D1207" s="41" t="s">
        <v>128</v>
      </c>
      <c r="E1207" s="19" t="s">
        <v>18</v>
      </c>
      <c r="F1207" s="19">
        <v>90</v>
      </c>
      <c r="G1207" s="19">
        <v>90</v>
      </c>
      <c r="H1207" s="24">
        <f>IF(G1207/F1207*100&gt;100,100,G1207/F1207*100)</f>
        <v>100</v>
      </c>
      <c r="I1207" s="19"/>
      <c r="J1207" s="129"/>
      <c r="K1207" s="41"/>
      <c r="L1207" s="19"/>
      <c r="M1207" s="122"/>
      <c r="N1207" s="122"/>
      <c r="O1207" s="24"/>
      <c r="P1207" s="468"/>
      <c r="Q1207" s="35"/>
      <c r="R1207" s="19"/>
      <c r="S1207" s="557"/>
      <c r="T1207" s="2"/>
    </row>
    <row r="1208" spans="1:20" s="1" customFormat="1" ht="40.5" customHeight="1" x14ac:dyDescent="0.35">
      <c r="A1208" s="605"/>
      <c r="B1208" s="541"/>
      <c r="C1208" s="465"/>
      <c r="D1208" s="466" t="s">
        <v>644</v>
      </c>
      <c r="E1208" s="465"/>
      <c r="F1208" s="20"/>
      <c r="G1208" s="20"/>
      <c r="H1208" s="18"/>
      <c r="I1208" s="18">
        <f>(H1206+H1207)/2</f>
        <v>100</v>
      </c>
      <c r="J1208" s="128"/>
      <c r="K1208" s="466" t="s">
        <v>644</v>
      </c>
      <c r="L1208" s="20"/>
      <c r="M1208" s="124"/>
      <c r="N1208" s="124"/>
      <c r="O1208" s="18"/>
      <c r="P1208" s="18">
        <f>O1206</f>
        <v>100</v>
      </c>
      <c r="Q1208" s="18">
        <f>(I1208+P1208)/2</f>
        <v>100</v>
      </c>
      <c r="R1208" s="465" t="s">
        <v>25</v>
      </c>
      <c r="S1208" s="557"/>
      <c r="T1208" s="2"/>
    </row>
    <row r="1209" spans="1:20" s="1" customFormat="1" ht="233.25" customHeight="1" x14ac:dyDescent="0.35">
      <c r="A1209" s="605"/>
      <c r="B1209" s="541"/>
      <c r="C1209" s="454" t="s">
        <v>129</v>
      </c>
      <c r="D1209" s="59" t="s">
        <v>274</v>
      </c>
      <c r="E1209" s="454"/>
      <c r="F1209" s="454"/>
      <c r="G1209" s="454"/>
      <c r="H1209" s="35"/>
      <c r="I1209" s="35"/>
      <c r="J1209" s="454" t="s">
        <v>129</v>
      </c>
      <c r="K1209" s="59" t="s">
        <v>274</v>
      </c>
      <c r="L1209" s="19"/>
      <c r="M1209" s="19"/>
      <c r="N1209" s="19"/>
      <c r="O1209" s="35"/>
      <c r="P1209" s="468"/>
      <c r="Q1209" s="35"/>
      <c r="R1209" s="19"/>
      <c r="S1209" s="557"/>
      <c r="T1209" s="2"/>
    </row>
    <row r="1210" spans="1:20" s="1" customFormat="1" ht="81.75" customHeight="1" x14ac:dyDescent="0.35">
      <c r="A1210" s="605"/>
      <c r="B1210" s="541"/>
      <c r="C1210" s="19" t="s">
        <v>131</v>
      </c>
      <c r="D1210" s="41" t="s">
        <v>17</v>
      </c>
      <c r="E1210" s="19" t="s">
        <v>18</v>
      </c>
      <c r="F1210" s="19">
        <v>90</v>
      </c>
      <c r="G1210" s="19">
        <v>90</v>
      </c>
      <c r="H1210" s="24">
        <f>IF(G1210/F1210*100&gt;100,100,G1210/F1210*100)</f>
        <v>100</v>
      </c>
      <c r="I1210" s="19"/>
      <c r="J1210" s="19" t="s">
        <v>131</v>
      </c>
      <c r="K1210" s="41" t="s">
        <v>273</v>
      </c>
      <c r="L1210" s="19" t="s">
        <v>41</v>
      </c>
      <c r="M1210" s="19">
        <v>135</v>
      </c>
      <c r="N1210" s="19">
        <v>135</v>
      </c>
      <c r="O1210" s="24">
        <f>IF(N1210/M1210*100&gt;110,110,N1210/M1210*100)</f>
        <v>100</v>
      </c>
      <c r="P1210" s="468"/>
      <c r="Q1210" s="35"/>
      <c r="R1210" s="19"/>
      <c r="S1210" s="557"/>
      <c r="T1210" s="2"/>
    </row>
    <row r="1211" spans="1:20" s="1" customFormat="1" ht="50.25" customHeight="1" x14ac:dyDescent="0.35">
      <c r="A1211" s="605"/>
      <c r="B1211" s="541"/>
      <c r="C1211" s="465"/>
      <c r="D1211" s="466" t="s">
        <v>644</v>
      </c>
      <c r="E1211" s="465"/>
      <c r="F1211" s="20"/>
      <c r="G1211" s="20"/>
      <c r="H1211" s="18"/>
      <c r="I1211" s="18">
        <f>H1210</f>
        <v>100</v>
      </c>
      <c r="J1211" s="128"/>
      <c r="K1211" s="466" t="s">
        <v>644</v>
      </c>
      <c r="L1211" s="20"/>
      <c r="M1211" s="124"/>
      <c r="N1211" s="124"/>
      <c r="O1211" s="18"/>
      <c r="P1211" s="18">
        <f>O1210</f>
        <v>100</v>
      </c>
      <c r="Q1211" s="18">
        <f>(I1211+P1211)/2</f>
        <v>100</v>
      </c>
      <c r="R1211" s="465" t="s">
        <v>25</v>
      </c>
      <c r="S1211" s="557"/>
      <c r="T1211" s="2"/>
    </row>
    <row r="1212" spans="1:20" s="1" customFormat="1" ht="64.5" customHeight="1" x14ac:dyDescent="0.35">
      <c r="A1212" s="605"/>
      <c r="B1212" s="541"/>
      <c r="C1212" s="454" t="s">
        <v>140</v>
      </c>
      <c r="D1212" s="59" t="s">
        <v>130</v>
      </c>
      <c r="E1212" s="19"/>
      <c r="F1212" s="19"/>
      <c r="G1212" s="19"/>
      <c r="H1212" s="35"/>
      <c r="I1212" s="35"/>
      <c r="J1212" s="454" t="s">
        <v>140</v>
      </c>
      <c r="K1212" s="59" t="str">
        <f>D1212</f>
        <v>Реализация дополнительных общеразвивающих программ</v>
      </c>
      <c r="L1212" s="19"/>
      <c r="M1212" s="122"/>
      <c r="N1212" s="122"/>
      <c r="O1212" s="35"/>
      <c r="P1212" s="468"/>
      <c r="Q1212" s="35"/>
      <c r="R1212" s="19"/>
      <c r="S1212" s="557"/>
      <c r="T1212" s="2"/>
    </row>
    <row r="1213" spans="1:20" s="1" customFormat="1" ht="86.25" customHeight="1" x14ac:dyDescent="0.35">
      <c r="A1213" s="605"/>
      <c r="B1213" s="541"/>
      <c r="C1213" s="19" t="s">
        <v>142</v>
      </c>
      <c r="D1213" s="41" t="s">
        <v>128</v>
      </c>
      <c r="E1213" s="19" t="s">
        <v>18</v>
      </c>
      <c r="F1213" s="19">
        <v>90</v>
      </c>
      <c r="G1213" s="19">
        <v>90</v>
      </c>
      <c r="H1213" s="24">
        <f>IF(G1213/F1213*100&gt;100,100,G1213/F1213*100)</f>
        <v>100</v>
      </c>
      <c r="I1213" s="19"/>
      <c r="J1213" s="19" t="s">
        <v>142</v>
      </c>
      <c r="K1213" s="41" t="s">
        <v>136</v>
      </c>
      <c r="L1213" s="19" t="s">
        <v>139</v>
      </c>
      <c r="M1213" s="19">
        <v>36720</v>
      </c>
      <c r="N1213" s="19">
        <v>36720</v>
      </c>
      <c r="O1213" s="24">
        <f>IF(N1213/M1213*100&gt;110,110,N1213/M1213*100)</f>
        <v>100</v>
      </c>
      <c r="P1213" s="468"/>
      <c r="Q1213" s="35"/>
      <c r="R1213" s="19"/>
      <c r="S1213" s="557"/>
      <c r="T1213" s="2"/>
    </row>
    <row r="1214" spans="1:20" s="1" customFormat="1" ht="40.5" customHeight="1" x14ac:dyDescent="0.35">
      <c r="A1214" s="605"/>
      <c r="B1214" s="541"/>
      <c r="C1214" s="465"/>
      <c r="D1214" s="466" t="s">
        <v>644</v>
      </c>
      <c r="E1214" s="465"/>
      <c r="F1214" s="20"/>
      <c r="G1214" s="20"/>
      <c r="H1214" s="18"/>
      <c r="I1214" s="18">
        <f>H1213</f>
        <v>100</v>
      </c>
      <c r="J1214" s="128"/>
      <c r="K1214" s="466" t="s">
        <v>644</v>
      </c>
      <c r="L1214" s="20"/>
      <c r="M1214" s="124"/>
      <c r="N1214" s="124"/>
      <c r="O1214" s="18"/>
      <c r="P1214" s="18">
        <f>O1213</f>
        <v>100</v>
      </c>
      <c r="Q1214" s="18">
        <f>(I1214+P1214)/2</f>
        <v>100</v>
      </c>
      <c r="R1214" s="465" t="s">
        <v>25</v>
      </c>
      <c r="S1214" s="557"/>
      <c r="T1214" s="2"/>
    </row>
    <row r="1215" spans="1:20" s="1" customFormat="1" ht="84.75" customHeight="1" x14ac:dyDescent="0.35">
      <c r="A1215" s="605">
        <v>59</v>
      </c>
      <c r="B1215" s="541" t="s">
        <v>190</v>
      </c>
      <c r="C1215" s="454" t="s">
        <v>13</v>
      </c>
      <c r="D1215" s="59" t="s">
        <v>103</v>
      </c>
      <c r="E1215" s="454"/>
      <c r="F1215" s="454"/>
      <c r="G1215" s="454"/>
      <c r="H1215" s="35"/>
      <c r="I1215" s="35"/>
      <c r="J1215" s="454" t="s">
        <v>13</v>
      </c>
      <c r="K1215" s="59" t="s">
        <v>103</v>
      </c>
      <c r="L1215" s="19"/>
      <c r="M1215" s="19"/>
      <c r="N1215" s="19"/>
      <c r="O1215" s="35"/>
      <c r="P1215" s="468"/>
      <c r="Q1215" s="35"/>
      <c r="R1215" s="19"/>
      <c r="S1215" s="557" t="s">
        <v>104</v>
      </c>
      <c r="T1215" s="2"/>
    </row>
    <row r="1216" spans="1:20" s="1" customFormat="1" ht="72" customHeight="1" x14ac:dyDescent="0.35">
      <c r="A1216" s="605"/>
      <c r="B1216" s="541"/>
      <c r="C1216" s="19" t="s">
        <v>16</v>
      </c>
      <c r="D1216" s="41" t="s">
        <v>105</v>
      </c>
      <c r="E1216" s="19" t="s">
        <v>18</v>
      </c>
      <c r="F1216" s="19">
        <v>100</v>
      </c>
      <c r="G1216" s="19">
        <v>100</v>
      </c>
      <c r="H1216" s="24">
        <f>IF(G1216/F1216*100&gt;100,100,G1216/F1216*100)</f>
        <v>100</v>
      </c>
      <c r="I1216" s="19"/>
      <c r="J1216" s="19" t="s">
        <v>16</v>
      </c>
      <c r="K1216" s="41" t="s">
        <v>106</v>
      </c>
      <c r="L1216" s="19" t="s">
        <v>20</v>
      </c>
      <c r="M1216" s="19">
        <v>392</v>
      </c>
      <c r="N1216" s="19">
        <v>386</v>
      </c>
      <c r="O1216" s="24">
        <f>IF(N1216/M1216*100&gt;110,110,N1216/M1216*100)</f>
        <v>98.469387755102048</v>
      </c>
      <c r="P1216" s="468"/>
      <c r="Q1216" s="35"/>
      <c r="R1216" s="19"/>
      <c r="S1216" s="557"/>
      <c r="T1216" s="2"/>
    </row>
    <row r="1217" spans="1:20" s="1" customFormat="1" x14ac:dyDescent="0.35">
      <c r="A1217" s="605"/>
      <c r="B1217" s="541"/>
      <c r="C1217" s="19" t="s">
        <v>21</v>
      </c>
      <c r="D1217" s="41" t="s">
        <v>135</v>
      </c>
      <c r="E1217" s="19" t="s">
        <v>18</v>
      </c>
      <c r="F1217" s="19">
        <v>100</v>
      </c>
      <c r="G1217" s="19">
        <v>100</v>
      </c>
      <c r="H1217" s="24">
        <f>IF(G1217/F1217*100&gt;100,100,G1217/F1217*100)</f>
        <v>100</v>
      </c>
      <c r="I1217" s="19"/>
      <c r="J1217" s="19"/>
      <c r="K1217" s="455"/>
      <c r="L1217" s="19"/>
      <c r="M1217" s="476"/>
      <c r="N1217" s="476"/>
      <c r="O1217" s="24"/>
      <c r="P1217" s="468"/>
      <c r="Q1217" s="35"/>
      <c r="R1217" s="19"/>
      <c r="S1217" s="557"/>
      <c r="T1217" s="2"/>
    </row>
    <row r="1218" spans="1:20" s="1" customFormat="1" ht="43.5" customHeight="1" x14ac:dyDescent="0.35">
      <c r="A1218" s="605"/>
      <c r="B1218" s="541"/>
      <c r="C1218" s="19" t="s">
        <v>23</v>
      </c>
      <c r="D1218" s="41" t="s">
        <v>108</v>
      </c>
      <c r="E1218" s="19" t="s">
        <v>18</v>
      </c>
      <c r="F1218" s="19">
        <v>100</v>
      </c>
      <c r="G1218" s="19">
        <v>100</v>
      </c>
      <c r="H1218" s="24">
        <f>IF(G1218/F1218*100&gt;100,100,G1218/F1218*100)</f>
        <v>100</v>
      </c>
      <c r="I1218" s="19"/>
      <c r="J1218" s="129"/>
      <c r="K1218" s="41"/>
      <c r="L1218" s="19"/>
      <c r="M1218" s="122"/>
      <c r="N1218" s="122"/>
      <c r="O1218" s="24"/>
      <c r="P1218" s="468"/>
      <c r="Q1218" s="35"/>
      <c r="R1218" s="19"/>
      <c r="S1218" s="557"/>
      <c r="T1218" s="2"/>
    </row>
    <row r="1219" spans="1:20" s="1" customFormat="1" ht="61.5" customHeight="1" x14ac:dyDescent="0.35">
      <c r="A1219" s="605"/>
      <c r="B1219" s="541"/>
      <c r="C1219" s="19" t="s">
        <v>109</v>
      </c>
      <c r="D1219" s="41" t="s">
        <v>157</v>
      </c>
      <c r="E1219" s="19" t="s">
        <v>18</v>
      </c>
      <c r="F1219" s="19">
        <v>90</v>
      </c>
      <c r="G1219" s="19">
        <v>90</v>
      </c>
      <c r="H1219" s="24">
        <f>IF(G1219/F1219*100&gt;100,100,G1219/F1219*100)</f>
        <v>100</v>
      </c>
      <c r="I1219" s="19"/>
      <c r="J1219" s="129"/>
      <c r="K1219" s="41"/>
      <c r="L1219" s="19"/>
      <c r="M1219" s="122"/>
      <c r="N1219" s="122"/>
      <c r="O1219" s="24"/>
      <c r="P1219" s="468"/>
      <c r="Q1219" s="35"/>
      <c r="R1219" s="19"/>
      <c r="S1219" s="557"/>
      <c r="T1219" s="2"/>
    </row>
    <row r="1220" spans="1:20" s="1" customFormat="1" ht="121.5" customHeight="1" x14ac:dyDescent="0.35">
      <c r="A1220" s="605"/>
      <c r="B1220" s="541"/>
      <c r="C1220" s="19" t="s">
        <v>110</v>
      </c>
      <c r="D1220" s="41" t="s">
        <v>111</v>
      </c>
      <c r="E1220" s="19" t="s">
        <v>18</v>
      </c>
      <c r="F1220" s="19">
        <v>100</v>
      </c>
      <c r="G1220" s="19">
        <v>100</v>
      </c>
      <c r="H1220" s="24">
        <f>IF(G1220/F1220*100&gt;100,100,G1220/F1220*100)</f>
        <v>100</v>
      </c>
      <c r="I1220" s="19"/>
      <c r="J1220" s="129"/>
      <c r="K1220" s="41"/>
      <c r="L1220" s="19"/>
      <c r="M1220" s="122"/>
      <c r="N1220" s="122"/>
      <c r="O1220" s="24"/>
      <c r="P1220" s="468"/>
      <c r="Q1220" s="35"/>
      <c r="R1220" s="19"/>
      <c r="S1220" s="557"/>
      <c r="T1220" s="2"/>
    </row>
    <row r="1221" spans="1:20" s="1" customFormat="1" ht="40.5" customHeight="1" x14ac:dyDescent="0.35">
      <c r="A1221" s="605"/>
      <c r="B1221" s="541"/>
      <c r="C1221" s="465"/>
      <c r="D1221" s="466" t="s">
        <v>644</v>
      </c>
      <c r="E1221" s="465"/>
      <c r="F1221" s="20"/>
      <c r="G1221" s="20"/>
      <c r="H1221" s="18"/>
      <c r="I1221" s="18">
        <f>(H1216+H1217+H1218+H1219+H1220)/5</f>
        <v>100</v>
      </c>
      <c r="J1221" s="128"/>
      <c r="K1221" s="466" t="s">
        <v>644</v>
      </c>
      <c r="L1221" s="20"/>
      <c r="M1221" s="124"/>
      <c r="N1221" s="124"/>
      <c r="O1221" s="18"/>
      <c r="P1221" s="18">
        <f>O1216</f>
        <v>98.469387755102048</v>
      </c>
      <c r="Q1221" s="18">
        <f>(I1221+P1221)/2</f>
        <v>99.234693877551024</v>
      </c>
      <c r="R1221" s="465" t="s">
        <v>112</v>
      </c>
      <c r="S1221" s="557"/>
      <c r="T1221" s="2"/>
    </row>
    <row r="1222" spans="1:20" s="1" customFormat="1" ht="81.75" customHeight="1" x14ac:dyDescent="0.35">
      <c r="A1222" s="605"/>
      <c r="B1222" s="541"/>
      <c r="C1222" s="454" t="s">
        <v>26</v>
      </c>
      <c r="D1222" s="59" t="s">
        <v>113</v>
      </c>
      <c r="E1222" s="19"/>
      <c r="F1222" s="19"/>
      <c r="G1222" s="19"/>
      <c r="H1222" s="35"/>
      <c r="I1222" s="35"/>
      <c r="J1222" s="454" t="s">
        <v>26</v>
      </c>
      <c r="K1222" s="59" t="s">
        <v>113</v>
      </c>
      <c r="L1222" s="19"/>
      <c r="M1222" s="122"/>
      <c r="N1222" s="122"/>
      <c r="O1222" s="35"/>
      <c r="P1222" s="468"/>
      <c r="Q1222" s="35"/>
      <c r="R1222" s="19"/>
      <c r="S1222" s="557"/>
      <c r="T1222" s="2"/>
    </row>
    <row r="1223" spans="1:20" s="1" customFormat="1" ht="73.5" customHeight="1" x14ac:dyDescent="0.35">
      <c r="A1223" s="605"/>
      <c r="B1223" s="541"/>
      <c r="C1223" s="19" t="s">
        <v>28</v>
      </c>
      <c r="D1223" s="41" t="s">
        <v>114</v>
      </c>
      <c r="E1223" s="19" t="s">
        <v>18</v>
      </c>
      <c r="F1223" s="19">
        <v>100</v>
      </c>
      <c r="G1223" s="19">
        <v>100</v>
      </c>
      <c r="H1223" s="24">
        <f>IF(G1223/F1223*100&gt;100,100,G1223/F1223*100)</f>
        <v>100</v>
      </c>
      <c r="I1223" s="19"/>
      <c r="J1223" s="129" t="s">
        <v>28</v>
      </c>
      <c r="K1223" s="41" t="s">
        <v>106</v>
      </c>
      <c r="L1223" s="19" t="s">
        <v>20</v>
      </c>
      <c r="M1223" s="19">
        <v>531</v>
      </c>
      <c r="N1223" s="19">
        <v>526</v>
      </c>
      <c r="O1223" s="24">
        <f>IF(N1223/M1223*100&gt;110,110,N1223/M1223*100)</f>
        <v>99.058380414312623</v>
      </c>
      <c r="P1223" s="19"/>
      <c r="Q1223" s="35"/>
      <c r="R1223" s="19"/>
      <c r="S1223" s="557"/>
      <c r="T1223" s="2"/>
    </row>
    <row r="1224" spans="1:20" s="1" customFormat="1" x14ac:dyDescent="0.35">
      <c r="A1224" s="605"/>
      <c r="B1224" s="541"/>
      <c r="C1224" s="19" t="s">
        <v>30</v>
      </c>
      <c r="D1224" s="41" t="s">
        <v>115</v>
      </c>
      <c r="E1224" s="19" t="s">
        <v>18</v>
      </c>
      <c r="F1224" s="19">
        <v>100</v>
      </c>
      <c r="G1224" s="19">
        <v>100</v>
      </c>
      <c r="H1224" s="24">
        <f>IF(G1224/F1224*100&gt;100,100,G1224/F1224*100)</f>
        <v>100</v>
      </c>
      <c r="I1224" s="19"/>
      <c r="J1224" s="129"/>
      <c r="K1224" s="41"/>
      <c r="L1224" s="19"/>
      <c r="M1224" s="122"/>
      <c r="N1224" s="122"/>
      <c r="O1224" s="24"/>
      <c r="P1224" s="468"/>
      <c r="Q1224" s="35"/>
      <c r="R1224" s="19"/>
      <c r="S1224" s="557"/>
      <c r="T1224" s="2"/>
    </row>
    <row r="1225" spans="1:20" s="1" customFormat="1" x14ac:dyDescent="0.35">
      <c r="A1225" s="605"/>
      <c r="B1225" s="541"/>
      <c r="C1225" s="19" t="s">
        <v>34</v>
      </c>
      <c r="D1225" s="41" t="s">
        <v>108</v>
      </c>
      <c r="E1225" s="19" t="s">
        <v>18</v>
      </c>
      <c r="F1225" s="19">
        <v>100</v>
      </c>
      <c r="G1225" s="19">
        <v>100</v>
      </c>
      <c r="H1225" s="24">
        <f>IF(G1225/F1225*100&gt;100,100,G1225/F1225*100)</f>
        <v>100</v>
      </c>
      <c r="I1225" s="19"/>
      <c r="J1225" s="129"/>
      <c r="K1225" s="41"/>
      <c r="L1225" s="19"/>
      <c r="M1225" s="122"/>
      <c r="N1225" s="122"/>
      <c r="O1225" s="24"/>
      <c r="P1225" s="468"/>
      <c r="Q1225" s="35"/>
      <c r="R1225" s="19"/>
      <c r="S1225" s="557"/>
      <c r="T1225" s="2"/>
    </row>
    <row r="1226" spans="1:20" s="1" customFormat="1" ht="69" customHeight="1" x14ac:dyDescent="0.35">
      <c r="A1226" s="605"/>
      <c r="B1226" s="541"/>
      <c r="C1226" s="19" t="s">
        <v>78</v>
      </c>
      <c r="D1226" s="41" t="s">
        <v>157</v>
      </c>
      <c r="E1226" s="19" t="s">
        <v>18</v>
      </c>
      <c r="F1226" s="19">
        <v>90</v>
      </c>
      <c r="G1226" s="19">
        <v>90</v>
      </c>
      <c r="H1226" s="24">
        <f>IF(G1226/F1226*100&gt;100,100,G1226/F1226*100)</f>
        <v>100</v>
      </c>
      <c r="I1226" s="19"/>
      <c r="J1226" s="129"/>
      <c r="K1226" s="41"/>
      <c r="L1226" s="19"/>
      <c r="M1226" s="122"/>
      <c r="N1226" s="122"/>
      <c r="O1226" s="24"/>
      <c r="P1226" s="468"/>
      <c r="Q1226" s="35"/>
      <c r="R1226" s="19"/>
      <c r="S1226" s="557"/>
      <c r="T1226" s="2"/>
    </row>
    <row r="1227" spans="1:20" s="1" customFormat="1" ht="120.75" customHeight="1" x14ac:dyDescent="0.35">
      <c r="A1227" s="605"/>
      <c r="B1227" s="541"/>
      <c r="C1227" s="19" t="s">
        <v>79</v>
      </c>
      <c r="D1227" s="41" t="s">
        <v>111</v>
      </c>
      <c r="E1227" s="19" t="s">
        <v>18</v>
      </c>
      <c r="F1227" s="19">
        <v>100</v>
      </c>
      <c r="G1227" s="19">
        <v>100</v>
      </c>
      <c r="H1227" s="24">
        <f>IF(G1227/F1227*100&gt;100,100,G1227/F1227*100)</f>
        <v>100</v>
      </c>
      <c r="I1227" s="19"/>
      <c r="J1227" s="129"/>
      <c r="K1227" s="41"/>
      <c r="L1227" s="19"/>
      <c r="M1227" s="122"/>
      <c r="N1227" s="122"/>
      <c r="O1227" s="24"/>
      <c r="P1227" s="468"/>
      <c r="Q1227" s="35"/>
      <c r="R1227" s="19"/>
      <c r="S1227" s="557"/>
      <c r="T1227" s="2"/>
    </row>
    <row r="1228" spans="1:20" s="1" customFormat="1" ht="40.5" customHeight="1" x14ac:dyDescent="0.35">
      <c r="A1228" s="605"/>
      <c r="B1228" s="541"/>
      <c r="C1228" s="465"/>
      <c r="D1228" s="466" t="s">
        <v>644</v>
      </c>
      <c r="E1228" s="465"/>
      <c r="F1228" s="20"/>
      <c r="G1228" s="20"/>
      <c r="H1228" s="18"/>
      <c r="I1228" s="18">
        <f>(H1223+H1224+H1225+H1226+H1227)/5</f>
        <v>100</v>
      </c>
      <c r="J1228" s="128"/>
      <c r="K1228" s="466" t="s">
        <v>644</v>
      </c>
      <c r="L1228" s="20"/>
      <c r="M1228" s="124"/>
      <c r="N1228" s="124"/>
      <c r="O1228" s="18"/>
      <c r="P1228" s="18">
        <f>O1223</f>
        <v>99.058380414312623</v>
      </c>
      <c r="Q1228" s="18">
        <f>(I1228+P1228)/2</f>
        <v>99.529190207156319</v>
      </c>
      <c r="R1228" s="465" t="s">
        <v>112</v>
      </c>
      <c r="S1228" s="557"/>
      <c r="T1228" s="2"/>
    </row>
    <row r="1229" spans="1:20" s="1" customFormat="1" ht="79.5" customHeight="1" x14ac:dyDescent="0.35">
      <c r="A1229" s="605"/>
      <c r="B1229" s="541"/>
      <c r="C1229" s="454" t="s">
        <v>36</v>
      </c>
      <c r="D1229" s="59" t="s">
        <v>116</v>
      </c>
      <c r="E1229" s="19"/>
      <c r="F1229" s="19"/>
      <c r="G1229" s="19"/>
      <c r="H1229" s="35"/>
      <c r="I1229" s="35"/>
      <c r="J1229" s="454" t="s">
        <v>36</v>
      </c>
      <c r="K1229" s="59" t="str">
        <f>D1229</f>
        <v>Реализация основных общеобразовательных программ среднего общего образования</v>
      </c>
      <c r="L1229" s="19"/>
      <c r="M1229" s="122"/>
      <c r="N1229" s="122"/>
      <c r="O1229" s="35"/>
      <c r="P1229" s="468"/>
      <c r="Q1229" s="35"/>
      <c r="R1229" s="19"/>
      <c r="S1229" s="557"/>
      <c r="T1229" s="2"/>
    </row>
    <row r="1230" spans="1:20" s="1" customFormat="1" ht="72.75" customHeight="1" x14ac:dyDescent="0.35">
      <c r="A1230" s="605"/>
      <c r="B1230" s="541"/>
      <c r="C1230" s="19" t="s">
        <v>38</v>
      </c>
      <c r="D1230" s="41" t="s">
        <v>117</v>
      </c>
      <c r="E1230" s="19" t="s">
        <v>18</v>
      </c>
      <c r="F1230" s="19">
        <v>100</v>
      </c>
      <c r="G1230" s="19">
        <v>100</v>
      </c>
      <c r="H1230" s="24">
        <f>IF(G1230/F1230*100&gt;100,100,G1230/F1230*100)</f>
        <v>100</v>
      </c>
      <c r="I1230" s="19"/>
      <c r="J1230" s="129" t="s">
        <v>38</v>
      </c>
      <c r="K1230" s="41" t="s">
        <v>106</v>
      </c>
      <c r="L1230" s="19" t="s">
        <v>20</v>
      </c>
      <c r="M1230" s="19">
        <v>87</v>
      </c>
      <c r="N1230" s="19">
        <v>87</v>
      </c>
      <c r="O1230" s="24">
        <f>IF(N1230/M1230*100&gt;110,110,N1230/M1230*100)</f>
        <v>100</v>
      </c>
      <c r="P1230" s="19"/>
      <c r="Q1230" s="35"/>
      <c r="R1230" s="19"/>
      <c r="S1230" s="557"/>
      <c r="T1230" s="2"/>
    </row>
    <row r="1231" spans="1:20" s="1" customFormat="1" x14ac:dyDescent="0.35">
      <c r="A1231" s="605"/>
      <c r="B1231" s="541"/>
      <c r="C1231" s="19" t="s">
        <v>118</v>
      </c>
      <c r="D1231" s="41" t="s">
        <v>119</v>
      </c>
      <c r="E1231" s="19" t="s">
        <v>18</v>
      </c>
      <c r="F1231" s="19">
        <v>100</v>
      </c>
      <c r="G1231" s="19">
        <v>100</v>
      </c>
      <c r="H1231" s="24">
        <f>IF(G1231/F1231*100&gt;100,100,G1231/F1231*100)</f>
        <v>100</v>
      </c>
      <c r="I1231" s="19"/>
      <c r="J1231" s="129"/>
      <c r="K1231" s="41"/>
      <c r="L1231" s="19"/>
      <c r="M1231" s="122"/>
      <c r="N1231" s="122"/>
      <c r="O1231" s="24"/>
      <c r="P1231" s="468"/>
      <c r="Q1231" s="35"/>
      <c r="R1231" s="19"/>
      <c r="S1231" s="557"/>
      <c r="T1231" s="2"/>
    </row>
    <row r="1232" spans="1:20" s="1" customFormat="1" ht="48.75" customHeight="1" x14ac:dyDescent="0.35">
      <c r="A1232" s="605"/>
      <c r="B1232" s="541"/>
      <c r="C1232" s="19" t="s">
        <v>120</v>
      </c>
      <c r="D1232" s="41" t="s">
        <v>108</v>
      </c>
      <c r="E1232" s="19" t="s">
        <v>18</v>
      </c>
      <c r="F1232" s="19">
        <v>100</v>
      </c>
      <c r="G1232" s="19">
        <v>100</v>
      </c>
      <c r="H1232" s="24">
        <f>IF(G1232/F1232*100&gt;100,100,G1232/F1232*100)</f>
        <v>100</v>
      </c>
      <c r="I1232" s="19"/>
      <c r="J1232" s="129"/>
      <c r="K1232" s="41"/>
      <c r="L1232" s="19"/>
      <c r="M1232" s="122"/>
      <c r="N1232" s="122"/>
      <c r="O1232" s="24"/>
      <c r="P1232" s="468"/>
      <c r="Q1232" s="35"/>
      <c r="R1232" s="19"/>
      <c r="S1232" s="557"/>
      <c r="T1232" s="2"/>
    </row>
    <row r="1233" spans="1:20" s="1" customFormat="1" ht="76.5" customHeight="1" x14ac:dyDescent="0.35">
      <c r="A1233" s="605"/>
      <c r="B1233" s="541"/>
      <c r="C1233" s="19" t="s">
        <v>121</v>
      </c>
      <c r="D1233" s="41" t="s">
        <v>157</v>
      </c>
      <c r="E1233" s="19" t="s">
        <v>18</v>
      </c>
      <c r="F1233" s="19">
        <v>90</v>
      </c>
      <c r="G1233" s="19">
        <v>90</v>
      </c>
      <c r="H1233" s="24">
        <f>IF(G1233/F1233*100&gt;100,100,G1233/F1233*100)</f>
        <v>100</v>
      </c>
      <c r="I1233" s="19"/>
      <c r="J1233" s="129"/>
      <c r="K1233" s="41"/>
      <c r="L1233" s="19"/>
      <c r="M1233" s="122"/>
      <c r="N1233" s="122"/>
      <c r="O1233" s="24"/>
      <c r="P1233" s="468"/>
      <c r="Q1233" s="35"/>
      <c r="R1233" s="19"/>
      <c r="S1233" s="557"/>
      <c r="T1233" s="2"/>
    </row>
    <row r="1234" spans="1:20" s="1" customFormat="1" ht="128.25" customHeight="1" x14ac:dyDescent="0.35">
      <c r="A1234" s="605"/>
      <c r="B1234" s="541"/>
      <c r="C1234" s="19" t="s">
        <v>122</v>
      </c>
      <c r="D1234" s="41" t="s">
        <v>111</v>
      </c>
      <c r="E1234" s="19" t="s">
        <v>18</v>
      </c>
      <c r="F1234" s="19">
        <v>100</v>
      </c>
      <c r="G1234" s="19">
        <v>100</v>
      </c>
      <c r="H1234" s="24">
        <f>IF(G1234/F1234*100&gt;100,100,G1234/F1234*100)</f>
        <v>100</v>
      </c>
      <c r="I1234" s="19"/>
      <c r="J1234" s="129"/>
      <c r="K1234" s="41"/>
      <c r="L1234" s="19"/>
      <c r="M1234" s="122"/>
      <c r="N1234" s="122"/>
      <c r="O1234" s="24"/>
      <c r="P1234" s="468"/>
      <c r="Q1234" s="35"/>
      <c r="R1234" s="19"/>
      <c r="S1234" s="557"/>
      <c r="T1234" s="2"/>
    </row>
    <row r="1235" spans="1:20" s="1" customFormat="1" ht="40.5" customHeight="1" x14ac:dyDescent="0.35">
      <c r="A1235" s="605"/>
      <c r="B1235" s="541"/>
      <c r="C1235" s="465"/>
      <c r="D1235" s="466" t="s">
        <v>644</v>
      </c>
      <c r="E1235" s="465"/>
      <c r="F1235" s="20"/>
      <c r="G1235" s="20"/>
      <c r="H1235" s="18"/>
      <c r="I1235" s="18">
        <f>(H1230+H1231+H1232+H1233+H1234)/5</f>
        <v>100</v>
      </c>
      <c r="J1235" s="128"/>
      <c r="K1235" s="466" t="s">
        <v>644</v>
      </c>
      <c r="L1235" s="20"/>
      <c r="M1235" s="124"/>
      <c r="N1235" s="124"/>
      <c r="O1235" s="18"/>
      <c r="P1235" s="18">
        <f>O1230</f>
        <v>100</v>
      </c>
      <c r="Q1235" s="18">
        <f>(I1235+P1235)/2</f>
        <v>100</v>
      </c>
      <c r="R1235" s="465" t="s">
        <v>25</v>
      </c>
      <c r="S1235" s="557"/>
      <c r="T1235" s="2"/>
    </row>
    <row r="1236" spans="1:20" s="1" customFormat="1" x14ac:dyDescent="0.35">
      <c r="A1236" s="605"/>
      <c r="B1236" s="541"/>
      <c r="C1236" s="454" t="s">
        <v>123</v>
      </c>
      <c r="D1236" s="59" t="s">
        <v>27</v>
      </c>
      <c r="E1236" s="19"/>
      <c r="F1236" s="19"/>
      <c r="G1236" s="19"/>
      <c r="H1236" s="35"/>
      <c r="I1236" s="35"/>
      <c r="J1236" s="454" t="s">
        <v>123</v>
      </c>
      <c r="K1236" s="59" t="s">
        <v>27</v>
      </c>
      <c r="L1236" s="19"/>
      <c r="M1236" s="122"/>
      <c r="N1236" s="122"/>
      <c r="O1236" s="35"/>
      <c r="P1236" s="468"/>
      <c r="Q1236" s="35"/>
      <c r="R1236" s="19"/>
      <c r="S1236" s="557"/>
      <c r="T1236" s="2"/>
    </row>
    <row r="1237" spans="1:20" s="1" customFormat="1" ht="59.25" customHeight="1" x14ac:dyDescent="0.35">
      <c r="A1237" s="605"/>
      <c r="B1237" s="541"/>
      <c r="C1237" s="19" t="s">
        <v>124</v>
      </c>
      <c r="D1237" s="41" t="s">
        <v>125</v>
      </c>
      <c r="E1237" s="19" t="s">
        <v>18</v>
      </c>
      <c r="F1237" s="19">
        <v>100</v>
      </c>
      <c r="G1237" s="19">
        <v>100</v>
      </c>
      <c r="H1237" s="24">
        <f>IF(G1237/F1237*100&gt;100,100,G1237/F1237*100)</f>
        <v>100</v>
      </c>
      <c r="I1237" s="19"/>
      <c r="J1237" s="129" t="s">
        <v>124</v>
      </c>
      <c r="K1237" s="41" t="s">
        <v>126</v>
      </c>
      <c r="L1237" s="19" t="s">
        <v>20</v>
      </c>
      <c r="M1237" s="19">
        <v>390</v>
      </c>
      <c r="N1237" s="19">
        <v>390</v>
      </c>
      <c r="O1237" s="24">
        <f>IF(N1237/M1237*100&gt;110,110,N1237/M1237*100)</f>
        <v>100</v>
      </c>
      <c r="P1237" s="468"/>
      <c r="Q1237" s="35"/>
      <c r="R1237" s="19"/>
      <c r="S1237" s="557"/>
      <c r="T1237" s="2"/>
    </row>
    <row r="1238" spans="1:20" s="1" customFormat="1" ht="81.75" customHeight="1" x14ac:dyDescent="0.35">
      <c r="A1238" s="605"/>
      <c r="B1238" s="541"/>
      <c r="C1238" s="19" t="s">
        <v>127</v>
      </c>
      <c r="D1238" s="41" t="s">
        <v>128</v>
      </c>
      <c r="E1238" s="19" t="s">
        <v>18</v>
      </c>
      <c r="F1238" s="19">
        <v>90</v>
      </c>
      <c r="G1238" s="19">
        <v>90</v>
      </c>
      <c r="H1238" s="24">
        <f>IF(G1238/F1238*100&gt;100,100,G1238/F1238*100)</f>
        <v>100</v>
      </c>
      <c r="I1238" s="19"/>
      <c r="J1238" s="129"/>
      <c r="K1238" s="41"/>
      <c r="L1238" s="19"/>
      <c r="M1238" s="122"/>
      <c r="N1238" s="122"/>
      <c r="O1238" s="24"/>
      <c r="P1238" s="468"/>
      <c r="Q1238" s="35"/>
      <c r="R1238" s="19"/>
      <c r="S1238" s="557"/>
      <c r="T1238" s="2"/>
    </row>
    <row r="1239" spans="1:20" s="1" customFormat="1" ht="40.5" customHeight="1" x14ac:dyDescent="0.35">
      <c r="A1239" s="605"/>
      <c r="B1239" s="541"/>
      <c r="C1239" s="465"/>
      <c r="D1239" s="466" t="s">
        <v>644</v>
      </c>
      <c r="E1239" s="465"/>
      <c r="F1239" s="20"/>
      <c r="G1239" s="20"/>
      <c r="H1239" s="18"/>
      <c r="I1239" s="18">
        <f>(H1237+H1238)/2</f>
        <v>100</v>
      </c>
      <c r="J1239" s="128"/>
      <c r="K1239" s="466" t="s">
        <v>644</v>
      </c>
      <c r="L1239" s="20"/>
      <c r="M1239" s="124"/>
      <c r="N1239" s="124"/>
      <c r="O1239" s="18"/>
      <c r="P1239" s="18">
        <f>O1237</f>
        <v>100</v>
      </c>
      <c r="Q1239" s="18">
        <f>(I1239+P1239)/2</f>
        <v>100</v>
      </c>
      <c r="R1239" s="465" t="s">
        <v>25</v>
      </c>
      <c r="S1239" s="557"/>
      <c r="T1239" s="2"/>
    </row>
    <row r="1240" spans="1:20" s="1" customFormat="1" ht="252.75" customHeight="1" x14ac:dyDescent="0.35">
      <c r="A1240" s="605"/>
      <c r="B1240" s="541"/>
      <c r="C1240" s="454" t="s">
        <v>129</v>
      </c>
      <c r="D1240" s="59" t="s">
        <v>275</v>
      </c>
      <c r="E1240" s="454"/>
      <c r="F1240" s="454"/>
      <c r="G1240" s="454"/>
      <c r="H1240" s="35"/>
      <c r="I1240" s="35"/>
      <c r="J1240" s="454" t="s">
        <v>129</v>
      </c>
      <c r="K1240" s="59" t="s">
        <v>276</v>
      </c>
      <c r="L1240" s="19"/>
      <c r="M1240" s="19"/>
      <c r="N1240" s="19"/>
      <c r="O1240" s="35"/>
      <c r="P1240" s="468"/>
      <c r="Q1240" s="35"/>
      <c r="R1240" s="19"/>
      <c r="S1240" s="557"/>
      <c r="T1240" s="2"/>
    </row>
    <row r="1241" spans="1:20" s="1" customFormat="1" ht="72" customHeight="1" x14ac:dyDescent="0.35">
      <c r="A1241" s="605"/>
      <c r="B1241" s="541"/>
      <c r="C1241" s="19" t="s">
        <v>131</v>
      </c>
      <c r="D1241" s="41" t="s">
        <v>17</v>
      </c>
      <c r="E1241" s="19" t="s">
        <v>18</v>
      </c>
      <c r="F1241" s="19">
        <v>90</v>
      </c>
      <c r="G1241" s="19">
        <v>90</v>
      </c>
      <c r="H1241" s="24">
        <f>IF(G1241/F1241*100&gt;100,100,G1241/F1241*100)</f>
        <v>100</v>
      </c>
      <c r="I1241" s="19"/>
      <c r="J1241" s="19" t="s">
        <v>131</v>
      </c>
      <c r="K1241" s="41" t="s">
        <v>273</v>
      </c>
      <c r="L1241" s="19" t="s">
        <v>41</v>
      </c>
      <c r="M1241" s="19">
        <v>9</v>
      </c>
      <c r="N1241" s="19">
        <v>9</v>
      </c>
      <c r="O1241" s="24">
        <f>IF(N1241/M1241*100&gt;110,110,N1241/M1241*100)</f>
        <v>100</v>
      </c>
      <c r="P1241" s="468"/>
      <c r="Q1241" s="35"/>
      <c r="R1241" s="19"/>
      <c r="S1241" s="557"/>
      <c r="T1241" s="2"/>
    </row>
    <row r="1242" spans="1:20" s="1" customFormat="1" ht="40.5" customHeight="1" x14ac:dyDescent="0.35">
      <c r="A1242" s="605"/>
      <c r="B1242" s="541"/>
      <c r="C1242" s="465"/>
      <c r="D1242" s="466" t="s">
        <v>644</v>
      </c>
      <c r="E1242" s="465"/>
      <c r="F1242" s="20"/>
      <c r="G1242" s="20"/>
      <c r="H1242" s="18"/>
      <c r="I1242" s="18">
        <f>H1241</f>
        <v>100</v>
      </c>
      <c r="J1242" s="128"/>
      <c r="K1242" s="466" t="s">
        <v>644</v>
      </c>
      <c r="L1242" s="20"/>
      <c r="M1242" s="124"/>
      <c r="N1242" s="124"/>
      <c r="O1242" s="18"/>
      <c r="P1242" s="18">
        <f>O1241</f>
        <v>100</v>
      </c>
      <c r="Q1242" s="18">
        <f>(I1242+P1242)/2</f>
        <v>100</v>
      </c>
      <c r="R1242" s="465" t="s">
        <v>25</v>
      </c>
      <c r="S1242" s="557"/>
      <c r="T1242" s="2"/>
    </row>
    <row r="1243" spans="1:20" s="1" customFormat="1" ht="239.25" customHeight="1" x14ac:dyDescent="0.35">
      <c r="A1243" s="605"/>
      <c r="B1243" s="541"/>
      <c r="C1243" s="454" t="s">
        <v>140</v>
      </c>
      <c r="D1243" s="59" t="s">
        <v>274</v>
      </c>
      <c r="E1243" s="454"/>
      <c r="F1243" s="454"/>
      <c r="G1243" s="454"/>
      <c r="H1243" s="35"/>
      <c r="I1243" s="35"/>
      <c r="J1243" s="454" t="s">
        <v>140</v>
      </c>
      <c r="K1243" s="59" t="s">
        <v>274</v>
      </c>
      <c r="L1243" s="19"/>
      <c r="M1243" s="19"/>
      <c r="N1243" s="19"/>
      <c r="O1243" s="35"/>
      <c r="P1243" s="468"/>
      <c r="Q1243" s="35"/>
      <c r="R1243" s="19"/>
      <c r="S1243" s="557"/>
      <c r="T1243" s="2"/>
    </row>
    <row r="1244" spans="1:20" s="1" customFormat="1" ht="77.25" customHeight="1" x14ac:dyDescent="0.35">
      <c r="A1244" s="605"/>
      <c r="B1244" s="541"/>
      <c r="C1244" s="19" t="s">
        <v>142</v>
      </c>
      <c r="D1244" s="41" t="s">
        <v>17</v>
      </c>
      <c r="E1244" s="19" t="s">
        <v>18</v>
      </c>
      <c r="F1244" s="19">
        <v>90</v>
      </c>
      <c r="G1244" s="19">
        <v>90</v>
      </c>
      <c r="H1244" s="24">
        <f>IF(G1244/F1244*100&gt;100,100,G1244/F1244*100)</f>
        <v>100</v>
      </c>
      <c r="I1244" s="19"/>
      <c r="J1244" s="19" t="s">
        <v>142</v>
      </c>
      <c r="K1244" s="41" t="s">
        <v>273</v>
      </c>
      <c r="L1244" s="19" t="s">
        <v>41</v>
      </c>
      <c r="M1244" s="19">
        <v>105</v>
      </c>
      <c r="N1244" s="19">
        <v>105</v>
      </c>
      <c r="O1244" s="24">
        <f>IF(N1244/M1244*100&gt;110,110,N1244/M1244*100)</f>
        <v>100</v>
      </c>
      <c r="P1244" s="468"/>
      <c r="Q1244" s="35"/>
      <c r="R1244" s="19"/>
      <c r="S1244" s="557"/>
      <c r="T1244" s="2"/>
    </row>
    <row r="1245" spans="1:20" s="1" customFormat="1" ht="40.5" customHeight="1" x14ac:dyDescent="0.35">
      <c r="A1245" s="605"/>
      <c r="B1245" s="541"/>
      <c r="C1245" s="465"/>
      <c r="D1245" s="466" t="s">
        <v>644</v>
      </c>
      <c r="E1245" s="465"/>
      <c r="F1245" s="20"/>
      <c r="G1245" s="20"/>
      <c r="H1245" s="18"/>
      <c r="I1245" s="18">
        <f>H1244</f>
        <v>100</v>
      </c>
      <c r="J1245" s="128"/>
      <c r="K1245" s="466" t="s">
        <v>644</v>
      </c>
      <c r="L1245" s="20"/>
      <c r="M1245" s="124"/>
      <c r="N1245" s="124"/>
      <c r="O1245" s="18"/>
      <c r="P1245" s="18">
        <f>O1244</f>
        <v>100</v>
      </c>
      <c r="Q1245" s="18">
        <f>(I1245+P1245)/2</f>
        <v>100</v>
      </c>
      <c r="R1245" s="465" t="s">
        <v>25</v>
      </c>
      <c r="S1245" s="557"/>
      <c r="T1245" s="2"/>
    </row>
    <row r="1246" spans="1:20" s="1" customFormat="1" ht="70.5" customHeight="1" x14ac:dyDescent="0.35">
      <c r="A1246" s="605"/>
      <c r="B1246" s="541"/>
      <c r="C1246" s="454" t="s">
        <v>144</v>
      </c>
      <c r="D1246" s="59" t="s">
        <v>130</v>
      </c>
      <c r="E1246" s="19"/>
      <c r="F1246" s="19"/>
      <c r="G1246" s="19"/>
      <c r="H1246" s="35"/>
      <c r="I1246" s="35"/>
      <c r="J1246" s="454" t="s">
        <v>144</v>
      </c>
      <c r="K1246" s="59" t="str">
        <f>D1246</f>
        <v>Реализация дополнительных общеразвивающих программ</v>
      </c>
      <c r="L1246" s="19"/>
      <c r="M1246" s="122"/>
      <c r="N1246" s="122"/>
      <c r="O1246" s="35"/>
      <c r="P1246" s="468"/>
      <c r="Q1246" s="35"/>
      <c r="R1246" s="19"/>
      <c r="S1246" s="557"/>
      <c r="T1246" s="2"/>
    </row>
    <row r="1247" spans="1:20" s="1" customFormat="1" ht="83.25" customHeight="1" x14ac:dyDescent="0.35">
      <c r="A1247" s="605"/>
      <c r="B1247" s="541"/>
      <c r="C1247" s="19" t="s">
        <v>146</v>
      </c>
      <c r="D1247" s="41" t="s">
        <v>128</v>
      </c>
      <c r="E1247" s="19" t="s">
        <v>18</v>
      </c>
      <c r="F1247" s="19">
        <v>90</v>
      </c>
      <c r="G1247" s="19">
        <v>90</v>
      </c>
      <c r="H1247" s="24">
        <f>IF(G1247/F1247*100&gt;100,100,G1247/F1247*100)</f>
        <v>100</v>
      </c>
      <c r="I1247" s="19"/>
      <c r="J1247" s="19" t="s">
        <v>146</v>
      </c>
      <c r="K1247" s="41" t="s">
        <v>136</v>
      </c>
      <c r="L1247" s="19" t="s">
        <v>139</v>
      </c>
      <c r="M1247" s="19">
        <v>86659.199999999997</v>
      </c>
      <c r="N1247" s="19">
        <v>86659.199999999997</v>
      </c>
      <c r="O1247" s="24">
        <f>IF(N1247/M1247*100&gt;110,110,N1247/M1247*100)</f>
        <v>100</v>
      </c>
      <c r="P1247" s="468"/>
      <c r="Q1247" s="35"/>
      <c r="R1247" s="19"/>
      <c r="S1247" s="557"/>
      <c r="T1247" s="2"/>
    </row>
    <row r="1248" spans="1:20" s="1" customFormat="1" ht="39" customHeight="1" x14ac:dyDescent="0.35">
      <c r="A1248" s="605"/>
      <c r="B1248" s="541"/>
      <c r="C1248" s="465"/>
      <c r="D1248" s="466" t="s">
        <v>644</v>
      </c>
      <c r="E1248" s="465"/>
      <c r="F1248" s="20"/>
      <c r="G1248" s="20"/>
      <c r="H1248" s="18"/>
      <c r="I1248" s="18">
        <f>H1247</f>
        <v>100</v>
      </c>
      <c r="J1248" s="128"/>
      <c r="K1248" s="466" t="s">
        <v>644</v>
      </c>
      <c r="L1248" s="20"/>
      <c r="M1248" s="124"/>
      <c r="N1248" s="124"/>
      <c r="O1248" s="18"/>
      <c r="P1248" s="18">
        <f>O1247</f>
        <v>100</v>
      </c>
      <c r="Q1248" s="18">
        <f>(I1248+P1248)/2</f>
        <v>100</v>
      </c>
      <c r="R1248" s="465" t="s">
        <v>25</v>
      </c>
      <c r="S1248" s="557"/>
      <c r="T1248" s="2"/>
    </row>
    <row r="1249" spans="1:20" s="1" customFormat="1" ht="84" customHeight="1" x14ac:dyDescent="0.35">
      <c r="A1249" s="605">
        <v>60</v>
      </c>
      <c r="B1249" s="541" t="s">
        <v>191</v>
      </c>
      <c r="C1249" s="454" t="s">
        <v>13</v>
      </c>
      <c r="D1249" s="59" t="s">
        <v>103</v>
      </c>
      <c r="E1249" s="454"/>
      <c r="F1249" s="454"/>
      <c r="G1249" s="454"/>
      <c r="H1249" s="35"/>
      <c r="I1249" s="35"/>
      <c r="J1249" s="454" t="s">
        <v>13</v>
      </c>
      <c r="K1249" s="59" t="s">
        <v>103</v>
      </c>
      <c r="L1249" s="19"/>
      <c r="M1249" s="19"/>
      <c r="N1249" s="19"/>
      <c r="O1249" s="35"/>
      <c r="P1249" s="468"/>
      <c r="Q1249" s="35"/>
      <c r="R1249" s="19"/>
      <c r="S1249" s="557" t="s">
        <v>15</v>
      </c>
      <c r="T1249" s="2"/>
    </row>
    <row r="1250" spans="1:20" s="1" customFormat="1" ht="79.5" customHeight="1" x14ac:dyDescent="0.35">
      <c r="A1250" s="605"/>
      <c r="B1250" s="541"/>
      <c r="C1250" s="19" t="s">
        <v>16</v>
      </c>
      <c r="D1250" s="41" t="s">
        <v>105</v>
      </c>
      <c r="E1250" s="19" t="s">
        <v>18</v>
      </c>
      <c r="F1250" s="19">
        <v>100</v>
      </c>
      <c r="G1250" s="19">
        <v>100</v>
      </c>
      <c r="H1250" s="24">
        <f>IF(G1250/F1250*100&gt;100,100,G1250/F1250*100)</f>
        <v>100</v>
      </c>
      <c r="I1250" s="19"/>
      <c r="J1250" s="19" t="s">
        <v>16</v>
      </c>
      <c r="K1250" s="41" t="s">
        <v>106</v>
      </c>
      <c r="L1250" s="19" t="s">
        <v>20</v>
      </c>
      <c r="M1250" s="19">
        <v>249</v>
      </c>
      <c r="N1250" s="19">
        <v>250</v>
      </c>
      <c r="O1250" s="24">
        <f>IF(N1250/M1250*100&gt;110,110,N1250/M1250*100)</f>
        <v>100.40160642570282</v>
      </c>
      <c r="P1250" s="468"/>
      <c r="Q1250" s="35"/>
      <c r="R1250" s="19"/>
      <c r="S1250" s="557"/>
      <c r="T1250" s="2"/>
    </row>
    <row r="1251" spans="1:20" s="1" customFormat="1" x14ac:dyDescent="0.35">
      <c r="A1251" s="605"/>
      <c r="B1251" s="541"/>
      <c r="C1251" s="19" t="s">
        <v>21</v>
      </c>
      <c r="D1251" s="41" t="s">
        <v>135</v>
      </c>
      <c r="E1251" s="19" t="s">
        <v>18</v>
      </c>
      <c r="F1251" s="19">
        <v>100</v>
      </c>
      <c r="G1251" s="19">
        <v>100</v>
      </c>
      <c r="H1251" s="24">
        <f>IF(G1251/F1251*100&gt;100,100,G1251/F1251*100)</f>
        <v>100</v>
      </c>
      <c r="I1251" s="19"/>
      <c r="J1251" s="19"/>
      <c r="K1251" s="455"/>
      <c r="L1251" s="19"/>
      <c r="M1251" s="476"/>
      <c r="N1251" s="476"/>
      <c r="O1251" s="24"/>
      <c r="P1251" s="468"/>
      <c r="Q1251" s="35"/>
      <c r="R1251" s="19"/>
      <c r="S1251" s="557"/>
      <c r="T1251" s="2"/>
    </row>
    <row r="1252" spans="1:20" s="1" customFormat="1" ht="57.75" customHeight="1" x14ac:dyDescent="0.35">
      <c r="A1252" s="605"/>
      <c r="B1252" s="541"/>
      <c r="C1252" s="19" t="s">
        <v>23</v>
      </c>
      <c r="D1252" s="41" t="s">
        <v>108</v>
      </c>
      <c r="E1252" s="19" t="s">
        <v>18</v>
      </c>
      <c r="F1252" s="19">
        <v>100</v>
      </c>
      <c r="G1252" s="19">
        <v>100</v>
      </c>
      <c r="H1252" s="24">
        <f>IF(G1252/F1252*100&gt;100,100,G1252/F1252*100)</f>
        <v>100</v>
      </c>
      <c r="I1252" s="19"/>
      <c r="J1252" s="129"/>
      <c r="K1252" s="41"/>
      <c r="L1252" s="19"/>
      <c r="M1252" s="122"/>
      <c r="N1252" s="122"/>
      <c r="O1252" s="24"/>
      <c r="P1252" s="468"/>
      <c r="Q1252" s="35"/>
      <c r="R1252" s="19"/>
      <c r="S1252" s="557"/>
      <c r="T1252" s="2"/>
    </row>
    <row r="1253" spans="1:20" s="1" customFormat="1" ht="69.75" customHeight="1" x14ac:dyDescent="0.35">
      <c r="A1253" s="605"/>
      <c r="B1253" s="541"/>
      <c r="C1253" s="19" t="s">
        <v>109</v>
      </c>
      <c r="D1253" s="41" t="s">
        <v>157</v>
      </c>
      <c r="E1253" s="19" t="s">
        <v>18</v>
      </c>
      <c r="F1253" s="19">
        <v>90</v>
      </c>
      <c r="G1253" s="19">
        <v>100</v>
      </c>
      <c r="H1253" s="24">
        <f>IF(G1253/F1253*100&gt;100,100,G1253/F1253*100)</f>
        <v>100</v>
      </c>
      <c r="I1253" s="19"/>
      <c r="J1253" s="129"/>
      <c r="K1253" s="41"/>
      <c r="L1253" s="19"/>
      <c r="M1253" s="122"/>
      <c r="N1253" s="122"/>
      <c r="O1253" s="24"/>
      <c r="P1253" s="468"/>
      <c r="Q1253" s="35"/>
      <c r="R1253" s="19"/>
      <c r="S1253" s="557"/>
      <c r="T1253" s="2"/>
    </row>
    <row r="1254" spans="1:20" s="1" customFormat="1" ht="123.75" customHeight="1" x14ac:dyDescent="0.35">
      <c r="A1254" s="605"/>
      <c r="B1254" s="541"/>
      <c r="C1254" s="19" t="s">
        <v>110</v>
      </c>
      <c r="D1254" s="41" t="s">
        <v>111</v>
      </c>
      <c r="E1254" s="19" t="s">
        <v>18</v>
      </c>
      <c r="F1254" s="19">
        <v>100</v>
      </c>
      <c r="G1254" s="19">
        <v>100</v>
      </c>
      <c r="H1254" s="24">
        <f>IF(G1254/F1254*100&gt;100,100,G1254/F1254*100)</f>
        <v>100</v>
      </c>
      <c r="I1254" s="19"/>
      <c r="J1254" s="129"/>
      <c r="K1254" s="41"/>
      <c r="L1254" s="19"/>
      <c r="M1254" s="122"/>
      <c r="N1254" s="122"/>
      <c r="O1254" s="24"/>
      <c r="P1254" s="468"/>
      <c r="Q1254" s="35"/>
      <c r="R1254" s="19"/>
      <c r="S1254" s="557"/>
      <c r="T1254" s="2"/>
    </row>
    <row r="1255" spans="1:20" s="1" customFormat="1" ht="40.5" customHeight="1" x14ac:dyDescent="0.35">
      <c r="A1255" s="605"/>
      <c r="B1255" s="541"/>
      <c r="C1255" s="465"/>
      <c r="D1255" s="466" t="s">
        <v>644</v>
      </c>
      <c r="E1255" s="465"/>
      <c r="F1255" s="20"/>
      <c r="G1255" s="20"/>
      <c r="H1255" s="18"/>
      <c r="I1255" s="18">
        <f>(H1250+H1251+H1252+H1253+H1254)/5</f>
        <v>100</v>
      </c>
      <c r="J1255" s="128"/>
      <c r="K1255" s="466" t="s">
        <v>644</v>
      </c>
      <c r="L1255" s="20"/>
      <c r="M1255" s="124"/>
      <c r="N1255" s="124"/>
      <c r="O1255" s="18"/>
      <c r="P1255" s="18">
        <f>O1250</f>
        <v>100.40160642570282</v>
      </c>
      <c r="Q1255" s="18">
        <f>(I1255+P1255)/2</f>
        <v>100.20080321285141</v>
      </c>
      <c r="R1255" s="465" t="s">
        <v>25</v>
      </c>
      <c r="S1255" s="557"/>
      <c r="T1255" s="2"/>
    </row>
    <row r="1256" spans="1:20" s="1" customFormat="1" ht="84.75" customHeight="1" x14ac:dyDescent="0.35">
      <c r="A1256" s="605"/>
      <c r="B1256" s="541"/>
      <c r="C1256" s="454" t="s">
        <v>26</v>
      </c>
      <c r="D1256" s="59" t="s">
        <v>113</v>
      </c>
      <c r="E1256" s="19"/>
      <c r="F1256" s="19"/>
      <c r="G1256" s="19"/>
      <c r="H1256" s="35"/>
      <c r="I1256" s="35"/>
      <c r="J1256" s="454" t="s">
        <v>26</v>
      </c>
      <c r="K1256" s="59" t="s">
        <v>113</v>
      </c>
      <c r="L1256" s="19"/>
      <c r="M1256" s="122"/>
      <c r="N1256" s="122"/>
      <c r="O1256" s="35"/>
      <c r="P1256" s="468"/>
      <c r="Q1256" s="35"/>
      <c r="R1256" s="19"/>
      <c r="S1256" s="557"/>
      <c r="T1256" s="2"/>
    </row>
    <row r="1257" spans="1:20" s="1" customFormat="1" ht="75.75" customHeight="1" x14ac:dyDescent="0.35">
      <c r="A1257" s="605"/>
      <c r="B1257" s="541"/>
      <c r="C1257" s="19" t="s">
        <v>28</v>
      </c>
      <c r="D1257" s="41" t="s">
        <v>114</v>
      </c>
      <c r="E1257" s="19" t="s">
        <v>18</v>
      </c>
      <c r="F1257" s="19">
        <v>100</v>
      </c>
      <c r="G1257" s="19">
        <v>100</v>
      </c>
      <c r="H1257" s="24">
        <f>IF(G1257/F1257*100&gt;100,100,G1257/F1257*100)</f>
        <v>100</v>
      </c>
      <c r="I1257" s="19"/>
      <c r="J1257" s="129" t="s">
        <v>28</v>
      </c>
      <c r="K1257" s="41" t="s">
        <v>106</v>
      </c>
      <c r="L1257" s="19" t="s">
        <v>20</v>
      </c>
      <c r="M1257" s="19">
        <v>360</v>
      </c>
      <c r="N1257" s="19">
        <v>364</v>
      </c>
      <c r="O1257" s="24">
        <f>IF(N1257/M1257*100&gt;110,110,N1257/M1257*100)</f>
        <v>101.11111111111111</v>
      </c>
      <c r="P1257" s="19"/>
      <c r="Q1257" s="35"/>
      <c r="R1257" s="19"/>
      <c r="S1257" s="557"/>
      <c r="T1257" s="2"/>
    </row>
    <row r="1258" spans="1:20" s="1" customFormat="1" x14ac:dyDescent="0.35">
      <c r="A1258" s="605"/>
      <c r="B1258" s="541"/>
      <c r="C1258" s="19" t="s">
        <v>30</v>
      </c>
      <c r="D1258" s="41" t="s">
        <v>115</v>
      </c>
      <c r="E1258" s="19" t="s">
        <v>18</v>
      </c>
      <c r="F1258" s="19">
        <v>100</v>
      </c>
      <c r="G1258" s="19">
        <v>100</v>
      </c>
      <c r="H1258" s="24">
        <f>IF(G1258/F1258*100&gt;100,100,G1258/F1258*100)</f>
        <v>100</v>
      </c>
      <c r="I1258" s="19"/>
      <c r="J1258" s="129"/>
      <c r="K1258" s="41"/>
      <c r="L1258" s="19"/>
      <c r="M1258" s="122"/>
      <c r="N1258" s="122"/>
      <c r="O1258" s="24"/>
      <c r="P1258" s="468"/>
      <c r="Q1258" s="35"/>
      <c r="R1258" s="19"/>
      <c r="S1258" s="557"/>
      <c r="T1258" s="2"/>
    </row>
    <row r="1259" spans="1:20" s="1" customFormat="1" ht="47.25" customHeight="1" x14ac:dyDescent="0.35">
      <c r="A1259" s="605"/>
      <c r="B1259" s="541"/>
      <c r="C1259" s="19" t="s">
        <v>34</v>
      </c>
      <c r="D1259" s="41" t="s">
        <v>108</v>
      </c>
      <c r="E1259" s="19" t="s">
        <v>18</v>
      </c>
      <c r="F1259" s="19">
        <v>100</v>
      </c>
      <c r="G1259" s="19">
        <v>100</v>
      </c>
      <c r="H1259" s="24">
        <f>IF(G1259/F1259*100&gt;100,100,G1259/F1259*100)</f>
        <v>100</v>
      </c>
      <c r="I1259" s="19"/>
      <c r="J1259" s="129"/>
      <c r="K1259" s="41"/>
      <c r="L1259" s="19"/>
      <c r="M1259" s="122"/>
      <c r="N1259" s="122"/>
      <c r="O1259" s="24"/>
      <c r="P1259" s="468"/>
      <c r="Q1259" s="35"/>
      <c r="R1259" s="19"/>
      <c r="S1259" s="557"/>
      <c r="T1259" s="2"/>
    </row>
    <row r="1260" spans="1:20" s="1" customFormat="1" ht="65.25" customHeight="1" x14ac:dyDescent="0.35">
      <c r="A1260" s="605"/>
      <c r="B1260" s="541"/>
      <c r="C1260" s="19" t="s">
        <v>78</v>
      </c>
      <c r="D1260" s="41" t="s">
        <v>157</v>
      </c>
      <c r="E1260" s="19" t="s">
        <v>18</v>
      </c>
      <c r="F1260" s="19">
        <v>90</v>
      </c>
      <c r="G1260" s="19">
        <v>100</v>
      </c>
      <c r="H1260" s="24">
        <f>IF(G1260/F1260*100&gt;100,100,G1260/F1260*100)</f>
        <v>100</v>
      </c>
      <c r="I1260" s="19"/>
      <c r="J1260" s="129"/>
      <c r="K1260" s="41"/>
      <c r="L1260" s="19"/>
      <c r="M1260" s="122"/>
      <c r="N1260" s="122"/>
      <c r="O1260" s="24"/>
      <c r="P1260" s="468"/>
      <c r="Q1260" s="35"/>
      <c r="R1260" s="19"/>
      <c r="S1260" s="557"/>
      <c r="T1260" s="2"/>
    </row>
    <row r="1261" spans="1:20" s="1" customFormat="1" ht="126.75" customHeight="1" x14ac:dyDescent="0.35">
      <c r="A1261" s="605"/>
      <c r="B1261" s="541"/>
      <c r="C1261" s="19" t="s">
        <v>79</v>
      </c>
      <c r="D1261" s="41" t="s">
        <v>111</v>
      </c>
      <c r="E1261" s="19" t="s">
        <v>18</v>
      </c>
      <c r="F1261" s="19">
        <v>100</v>
      </c>
      <c r="G1261" s="19">
        <v>100</v>
      </c>
      <c r="H1261" s="24">
        <f>IF(G1261/F1261*100&gt;100,100,G1261/F1261*100)</f>
        <v>100</v>
      </c>
      <c r="I1261" s="19"/>
      <c r="J1261" s="129"/>
      <c r="K1261" s="41"/>
      <c r="L1261" s="19"/>
      <c r="M1261" s="122"/>
      <c r="N1261" s="122"/>
      <c r="O1261" s="24"/>
      <c r="P1261" s="468"/>
      <c r="Q1261" s="35"/>
      <c r="R1261" s="19"/>
      <c r="S1261" s="557"/>
      <c r="T1261" s="2"/>
    </row>
    <row r="1262" spans="1:20" s="1" customFormat="1" ht="40.5" customHeight="1" x14ac:dyDescent="0.35">
      <c r="A1262" s="605"/>
      <c r="B1262" s="541"/>
      <c r="C1262" s="465"/>
      <c r="D1262" s="466" t="s">
        <v>644</v>
      </c>
      <c r="E1262" s="465"/>
      <c r="F1262" s="20"/>
      <c r="G1262" s="20"/>
      <c r="H1262" s="18"/>
      <c r="I1262" s="18">
        <f>(H1257+H1258+H1259+H1260+H1261)/5</f>
        <v>100</v>
      </c>
      <c r="J1262" s="128"/>
      <c r="K1262" s="466" t="s">
        <v>644</v>
      </c>
      <c r="L1262" s="20"/>
      <c r="M1262" s="124"/>
      <c r="N1262" s="124"/>
      <c r="O1262" s="18"/>
      <c r="P1262" s="18">
        <f>O1257</f>
        <v>101.11111111111111</v>
      </c>
      <c r="Q1262" s="18">
        <f>(I1262+P1262)/2</f>
        <v>100.55555555555556</v>
      </c>
      <c r="R1262" s="465" t="s">
        <v>25</v>
      </c>
      <c r="S1262" s="557"/>
      <c r="T1262" s="2"/>
    </row>
    <row r="1263" spans="1:20" s="1" customFormat="1" ht="33" x14ac:dyDescent="0.35">
      <c r="A1263" s="605"/>
      <c r="B1263" s="541"/>
      <c r="C1263" s="454" t="s">
        <v>36</v>
      </c>
      <c r="D1263" s="59" t="s">
        <v>116</v>
      </c>
      <c r="E1263" s="19"/>
      <c r="F1263" s="19"/>
      <c r="G1263" s="19"/>
      <c r="H1263" s="35"/>
      <c r="I1263" s="35"/>
      <c r="J1263" s="454" t="s">
        <v>36</v>
      </c>
      <c r="K1263" s="59" t="str">
        <f>D1263</f>
        <v>Реализация основных общеобразовательных программ среднего общего образования</v>
      </c>
      <c r="L1263" s="19"/>
      <c r="M1263" s="122"/>
      <c r="N1263" s="122"/>
      <c r="O1263" s="35"/>
      <c r="P1263" s="468"/>
      <c r="Q1263" s="35"/>
      <c r="R1263" s="19"/>
      <c r="S1263" s="557"/>
      <c r="T1263" s="2"/>
    </row>
    <row r="1264" spans="1:20" s="1" customFormat="1" ht="76.5" customHeight="1" x14ac:dyDescent="0.35">
      <c r="A1264" s="605"/>
      <c r="B1264" s="541"/>
      <c r="C1264" s="19" t="s">
        <v>38</v>
      </c>
      <c r="D1264" s="41" t="s">
        <v>117</v>
      </c>
      <c r="E1264" s="19" t="s">
        <v>18</v>
      </c>
      <c r="F1264" s="19">
        <v>100</v>
      </c>
      <c r="G1264" s="19">
        <v>100</v>
      </c>
      <c r="H1264" s="24">
        <f>IF(G1264/F1264*100&gt;100,100,G1264/F1264*100)</f>
        <v>100</v>
      </c>
      <c r="I1264" s="19"/>
      <c r="J1264" s="129" t="s">
        <v>38</v>
      </c>
      <c r="K1264" s="41" t="s">
        <v>106</v>
      </c>
      <c r="L1264" s="19" t="s">
        <v>20</v>
      </c>
      <c r="M1264" s="19">
        <v>36</v>
      </c>
      <c r="N1264" s="19">
        <v>36</v>
      </c>
      <c r="O1264" s="24">
        <f>IF(N1264/M1264*100&gt;110,110,N1264/M1264*100)</f>
        <v>100</v>
      </c>
      <c r="P1264" s="19"/>
      <c r="Q1264" s="35"/>
      <c r="R1264" s="19"/>
      <c r="S1264" s="557"/>
      <c r="T1264" s="2"/>
    </row>
    <row r="1265" spans="1:20" s="1" customFormat="1" ht="33.75" customHeight="1" x14ac:dyDescent="0.35">
      <c r="A1265" s="605"/>
      <c r="B1265" s="541"/>
      <c r="C1265" s="19" t="s">
        <v>118</v>
      </c>
      <c r="D1265" s="41" t="s">
        <v>119</v>
      </c>
      <c r="E1265" s="19" t="s">
        <v>18</v>
      </c>
      <c r="F1265" s="19">
        <v>100</v>
      </c>
      <c r="G1265" s="19">
        <v>100</v>
      </c>
      <c r="H1265" s="24">
        <f>IF(G1265/F1265*100&gt;100,100,G1265/F1265*100)</f>
        <v>100</v>
      </c>
      <c r="I1265" s="19"/>
      <c r="J1265" s="129"/>
      <c r="K1265" s="41"/>
      <c r="L1265" s="19"/>
      <c r="M1265" s="122"/>
      <c r="N1265" s="122"/>
      <c r="O1265" s="24"/>
      <c r="P1265" s="468"/>
      <c r="Q1265" s="35"/>
      <c r="R1265" s="19"/>
      <c r="S1265" s="557"/>
      <c r="T1265" s="2"/>
    </row>
    <row r="1266" spans="1:20" s="1" customFormat="1" ht="56.25" customHeight="1" x14ac:dyDescent="0.35">
      <c r="A1266" s="605"/>
      <c r="B1266" s="541"/>
      <c r="C1266" s="19" t="s">
        <v>120</v>
      </c>
      <c r="D1266" s="41" t="s">
        <v>108</v>
      </c>
      <c r="E1266" s="19" t="s">
        <v>18</v>
      </c>
      <c r="F1266" s="19">
        <v>100</v>
      </c>
      <c r="G1266" s="19">
        <v>100</v>
      </c>
      <c r="H1266" s="24">
        <f>IF(G1266/F1266*100&gt;100,100,G1266/F1266*100)</f>
        <v>100</v>
      </c>
      <c r="I1266" s="19"/>
      <c r="J1266" s="129"/>
      <c r="K1266" s="41"/>
      <c r="L1266" s="19"/>
      <c r="M1266" s="122"/>
      <c r="N1266" s="122"/>
      <c r="O1266" s="24"/>
      <c r="P1266" s="468"/>
      <c r="Q1266" s="35"/>
      <c r="R1266" s="19"/>
      <c r="S1266" s="557"/>
      <c r="T1266" s="2"/>
    </row>
    <row r="1267" spans="1:20" s="1" customFormat="1" ht="63.75" customHeight="1" x14ac:dyDescent="0.35">
      <c r="A1267" s="605"/>
      <c r="B1267" s="541"/>
      <c r="C1267" s="19" t="s">
        <v>121</v>
      </c>
      <c r="D1267" s="41" t="s">
        <v>157</v>
      </c>
      <c r="E1267" s="19" t="s">
        <v>18</v>
      </c>
      <c r="F1267" s="19">
        <v>90</v>
      </c>
      <c r="G1267" s="19">
        <v>100</v>
      </c>
      <c r="H1267" s="24">
        <f>IF(G1267/F1267*100&gt;100,100,G1267/F1267*100)</f>
        <v>100</v>
      </c>
      <c r="I1267" s="19"/>
      <c r="J1267" s="129"/>
      <c r="K1267" s="41"/>
      <c r="L1267" s="19"/>
      <c r="M1267" s="122"/>
      <c r="N1267" s="122"/>
      <c r="O1267" s="24"/>
      <c r="P1267" s="468"/>
      <c r="Q1267" s="35"/>
      <c r="R1267" s="19"/>
      <c r="S1267" s="557"/>
      <c r="T1267" s="2"/>
    </row>
    <row r="1268" spans="1:20" s="1" customFormat="1" ht="128.25" customHeight="1" x14ac:dyDescent="0.35">
      <c r="A1268" s="605"/>
      <c r="B1268" s="541"/>
      <c r="C1268" s="19" t="s">
        <v>122</v>
      </c>
      <c r="D1268" s="41" t="s">
        <v>111</v>
      </c>
      <c r="E1268" s="19" t="s">
        <v>18</v>
      </c>
      <c r="F1268" s="19">
        <v>100</v>
      </c>
      <c r="G1268" s="19">
        <v>100</v>
      </c>
      <c r="H1268" s="24">
        <f>IF(G1268/F1268*100&gt;100,100,G1268/F1268*100)</f>
        <v>100</v>
      </c>
      <c r="I1268" s="19"/>
      <c r="J1268" s="129"/>
      <c r="K1268" s="41"/>
      <c r="L1268" s="19"/>
      <c r="M1268" s="122"/>
      <c r="N1268" s="122"/>
      <c r="O1268" s="24"/>
      <c r="P1268" s="468"/>
      <c r="Q1268" s="35"/>
      <c r="R1268" s="19"/>
      <c r="S1268" s="557"/>
      <c r="T1268" s="2"/>
    </row>
    <row r="1269" spans="1:20" s="1" customFormat="1" ht="40.5" customHeight="1" x14ac:dyDescent="0.35">
      <c r="A1269" s="605"/>
      <c r="B1269" s="541"/>
      <c r="C1269" s="465"/>
      <c r="D1269" s="466" t="s">
        <v>644</v>
      </c>
      <c r="E1269" s="465"/>
      <c r="F1269" s="20"/>
      <c r="G1269" s="20"/>
      <c r="H1269" s="18"/>
      <c r="I1269" s="18">
        <f>(H1264+H1265+H1266+H1267+H1268)/5</f>
        <v>100</v>
      </c>
      <c r="J1269" s="128"/>
      <c r="K1269" s="466" t="s">
        <v>644</v>
      </c>
      <c r="L1269" s="20"/>
      <c r="M1269" s="124"/>
      <c r="N1269" s="124"/>
      <c r="O1269" s="18"/>
      <c r="P1269" s="18">
        <f>O1264</f>
        <v>100</v>
      </c>
      <c r="Q1269" s="18">
        <f>(I1269+P1269)/2</f>
        <v>100</v>
      </c>
      <c r="R1269" s="465" t="s">
        <v>25</v>
      </c>
      <c r="S1269" s="557"/>
      <c r="T1269" s="2"/>
    </row>
    <row r="1270" spans="1:20" s="1" customFormat="1" x14ac:dyDescent="0.35">
      <c r="A1270" s="605"/>
      <c r="B1270" s="541"/>
      <c r="C1270" s="454" t="s">
        <v>123</v>
      </c>
      <c r="D1270" s="59" t="s">
        <v>27</v>
      </c>
      <c r="E1270" s="19"/>
      <c r="F1270" s="19"/>
      <c r="G1270" s="19"/>
      <c r="H1270" s="35"/>
      <c r="I1270" s="35"/>
      <c r="J1270" s="454" t="s">
        <v>123</v>
      </c>
      <c r="K1270" s="59" t="s">
        <v>27</v>
      </c>
      <c r="L1270" s="19"/>
      <c r="M1270" s="122"/>
      <c r="N1270" s="122"/>
      <c r="O1270" s="35"/>
      <c r="P1270" s="468"/>
      <c r="Q1270" s="35"/>
      <c r="R1270" s="19"/>
      <c r="S1270" s="557"/>
      <c r="T1270" s="2"/>
    </row>
    <row r="1271" spans="1:20" s="1" customFormat="1" ht="41.25" customHeight="1" x14ac:dyDescent="0.35">
      <c r="A1271" s="605"/>
      <c r="B1271" s="541"/>
      <c r="C1271" s="19" t="s">
        <v>124</v>
      </c>
      <c r="D1271" s="41" t="s">
        <v>125</v>
      </c>
      <c r="E1271" s="19" t="s">
        <v>18</v>
      </c>
      <c r="F1271" s="19">
        <v>100</v>
      </c>
      <c r="G1271" s="19">
        <v>100</v>
      </c>
      <c r="H1271" s="24">
        <f>IF(G1271/F1271*100&gt;100,100,G1271/F1271*100)</f>
        <v>100</v>
      </c>
      <c r="I1271" s="19"/>
      <c r="J1271" s="129" t="s">
        <v>124</v>
      </c>
      <c r="K1271" s="41" t="s">
        <v>106</v>
      </c>
      <c r="L1271" s="19" t="s">
        <v>20</v>
      </c>
      <c r="M1271" s="19">
        <v>175</v>
      </c>
      <c r="N1271" s="19">
        <v>175</v>
      </c>
      <c r="O1271" s="24">
        <f>IF(N1271/M1271*100&gt;110,110,N1271/M1271*100)</f>
        <v>100</v>
      </c>
      <c r="P1271" s="468"/>
      <c r="Q1271" s="35"/>
      <c r="R1271" s="19"/>
      <c r="S1271" s="557"/>
      <c r="T1271" s="2"/>
    </row>
    <row r="1272" spans="1:20" s="1" customFormat="1" ht="84" customHeight="1" x14ac:dyDescent="0.35">
      <c r="A1272" s="605"/>
      <c r="B1272" s="541"/>
      <c r="C1272" s="19" t="s">
        <v>127</v>
      </c>
      <c r="D1272" s="41" t="s">
        <v>128</v>
      </c>
      <c r="E1272" s="19" t="s">
        <v>18</v>
      </c>
      <c r="F1272" s="19">
        <v>90</v>
      </c>
      <c r="G1272" s="19">
        <v>90</v>
      </c>
      <c r="H1272" s="24">
        <f>IF(G1272/F1272*100&gt;100,100,G1272/F1272*100)</f>
        <v>100</v>
      </c>
      <c r="I1272" s="19"/>
      <c r="J1272" s="129"/>
      <c r="K1272" s="41"/>
      <c r="L1272" s="19"/>
      <c r="M1272" s="122"/>
      <c r="N1272" s="122"/>
      <c r="O1272" s="24"/>
      <c r="P1272" s="468"/>
      <c r="Q1272" s="35"/>
      <c r="R1272" s="19"/>
      <c r="S1272" s="557"/>
      <c r="T1272" s="2"/>
    </row>
    <row r="1273" spans="1:20" s="1" customFormat="1" ht="40.5" customHeight="1" x14ac:dyDescent="0.35">
      <c r="A1273" s="605"/>
      <c r="B1273" s="541"/>
      <c r="C1273" s="465"/>
      <c r="D1273" s="466" t="s">
        <v>644</v>
      </c>
      <c r="E1273" s="465"/>
      <c r="F1273" s="20"/>
      <c r="G1273" s="20"/>
      <c r="H1273" s="18"/>
      <c r="I1273" s="18">
        <f>(H1271+H1272)/2</f>
        <v>100</v>
      </c>
      <c r="J1273" s="128"/>
      <c r="K1273" s="466" t="s">
        <v>644</v>
      </c>
      <c r="L1273" s="20"/>
      <c r="M1273" s="124"/>
      <c r="N1273" s="124"/>
      <c r="O1273" s="18"/>
      <c r="P1273" s="18">
        <f>O1271</f>
        <v>100</v>
      </c>
      <c r="Q1273" s="18">
        <f>(I1273+P1273)/2</f>
        <v>100</v>
      </c>
      <c r="R1273" s="465" t="s">
        <v>25</v>
      </c>
      <c r="S1273" s="557"/>
      <c r="T1273" s="2"/>
    </row>
    <row r="1274" spans="1:20" s="1" customFormat="1" ht="48" customHeight="1" x14ac:dyDescent="0.35">
      <c r="A1274" s="605"/>
      <c r="B1274" s="541"/>
      <c r="C1274" s="454" t="s">
        <v>129</v>
      </c>
      <c r="D1274" s="59" t="s">
        <v>192</v>
      </c>
      <c r="E1274" s="19"/>
      <c r="F1274" s="19"/>
      <c r="G1274" s="19"/>
      <c r="H1274" s="35"/>
      <c r="I1274" s="35"/>
      <c r="J1274" s="454" t="str">
        <f>C1274</f>
        <v>V</v>
      </c>
      <c r="K1274" s="484" t="str">
        <f>D1274</f>
        <v>Содержание детей на уровне начального общего образования</v>
      </c>
      <c r="L1274" s="19"/>
      <c r="M1274" s="122"/>
      <c r="N1274" s="122"/>
      <c r="O1274" s="35"/>
      <c r="P1274" s="468"/>
      <c r="Q1274" s="35"/>
      <c r="R1274" s="19"/>
      <c r="S1274" s="557"/>
      <c r="T1274" s="2"/>
    </row>
    <row r="1275" spans="1:20" s="1" customFormat="1" ht="101.25" customHeight="1" x14ac:dyDescent="0.35">
      <c r="A1275" s="605"/>
      <c r="B1275" s="541"/>
      <c r="C1275" s="19" t="s">
        <v>131</v>
      </c>
      <c r="D1275" s="41" t="s">
        <v>128</v>
      </c>
      <c r="E1275" s="19" t="s">
        <v>18</v>
      </c>
      <c r="F1275" s="19">
        <v>100</v>
      </c>
      <c r="G1275" s="19">
        <v>100</v>
      </c>
      <c r="H1275" s="24">
        <f>IF(G1275/F1275*100&gt;100,100,G1275/F1275*100)</f>
        <v>100</v>
      </c>
      <c r="I1275" s="19"/>
      <c r="J1275" s="19" t="str">
        <f>C1275</f>
        <v>5.1.</v>
      </c>
      <c r="K1275" s="41" t="s">
        <v>106</v>
      </c>
      <c r="L1275" s="19" t="s">
        <v>20</v>
      </c>
      <c r="M1275" s="19">
        <v>1</v>
      </c>
      <c r="N1275" s="19">
        <v>1</v>
      </c>
      <c r="O1275" s="24">
        <f>IF(N1275/M1275*100&gt;110,110,N1275/M1275*100)</f>
        <v>100</v>
      </c>
      <c r="P1275" s="468"/>
      <c r="Q1275" s="35"/>
      <c r="R1275" s="19"/>
      <c r="S1275" s="557"/>
      <c r="T1275" s="2"/>
    </row>
    <row r="1276" spans="1:20" s="1" customFormat="1" ht="39.75" customHeight="1" x14ac:dyDescent="0.35">
      <c r="A1276" s="605"/>
      <c r="B1276" s="541"/>
      <c r="C1276" s="465"/>
      <c r="D1276" s="466" t="s">
        <v>644</v>
      </c>
      <c r="E1276" s="465"/>
      <c r="F1276" s="20"/>
      <c r="G1276" s="20"/>
      <c r="H1276" s="18"/>
      <c r="I1276" s="18">
        <f>H1275</f>
        <v>100</v>
      </c>
      <c r="J1276" s="128"/>
      <c r="K1276" s="466" t="s">
        <v>644</v>
      </c>
      <c r="L1276" s="20"/>
      <c r="M1276" s="124"/>
      <c r="N1276" s="124"/>
      <c r="O1276" s="18"/>
      <c r="P1276" s="18">
        <f>O1275</f>
        <v>100</v>
      </c>
      <c r="Q1276" s="18">
        <f>(I1276+P1276)/2</f>
        <v>100</v>
      </c>
      <c r="R1276" s="465" t="s">
        <v>25</v>
      </c>
      <c r="S1276" s="557"/>
      <c r="T1276" s="2"/>
    </row>
    <row r="1277" spans="1:20" s="1" customFormat="1" ht="58.5" customHeight="1" x14ac:dyDescent="0.35">
      <c r="A1277" s="605"/>
      <c r="B1277" s="541"/>
      <c r="C1277" s="454" t="s">
        <v>140</v>
      </c>
      <c r="D1277" s="59" t="s">
        <v>193</v>
      </c>
      <c r="E1277" s="454"/>
      <c r="F1277" s="19"/>
      <c r="G1277" s="19"/>
      <c r="H1277" s="35"/>
      <c r="I1277" s="35"/>
      <c r="J1277" s="145" t="str">
        <f>C1277</f>
        <v>VI</v>
      </c>
      <c r="K1277" s="59" t="str">
        <f>D1277</f>
        <v>Содержание детей на уровне основного общего образования</v>
      </c>
      <c r="L1277" s="19"/>
      <c r="M1277" s="96"/>
      <c r="N1277" s="96"/>
      <c r="O1277" s="35"/>
      <c r="P1277" s="35"/>
      <c r="Q1277" s="35"/>
      <c r="R1277" s="454"/>
      <c r="S1277" s="557"/>
      <c r="T1277" s="2"/>
    </row>
    <row r="1278" spans="1:20" s="1" customFormat="1" ht="81.75" customHeight="1" x14ac:dyDescent="0.35">
      <c r="A1278" s="605"/>
      <c r="B1278" s="541"/>
      <c r="C1278" s="19" t="s">
        <v>142</v>
      </c>
      <c r="D1278" s="485" t="s">
        <v>128</v>
      </c>
      <c r="E1278" s="19" t="s">
        <v>18</v>
      </c>
      <c r="F1278" s="19">
        <v>100</v>
      </c>
      <c r="G1278" s="19">
        <v>100</v>
      </c>
      <c r="H1278" s="24">
        <f>IF(G1278/F1278*100&gt;100,100,G1278/F1278*100)</f>
        <v>100</v>
      </c>
      <c r="I1278" s="35"/>
      <c r="J1278" s="129" t="str">
        <f>C1278</f>
        <v>6.1.</v>
      </c>
      <c r="K1278" s="41" t="s">
        <v>106</v>
      </c>
      <c r="L1278" s="19" t="s">
        <v>20</v>
      </c>
      <c r="M1278" s="486">
        <v>4</v>
      </c>
      <c r="N1278" s="486">
        <v>4</v>
      </c>
      <c r="O1278" s="24">
        <f>IF(N1278/M1278*100&gt;110,110,N1278/M1278*100)</f>
        <v>100</v>
      </c>
      <c r="P1278" s="35"/>
      <c r="Q1278" s="35"/>
      <c r="R1278" s="454"/>
      <c r="S1278" s="557"/>
      <c r="T1278" s="2"/>
    </row>
    <row r="1279" spans="1:20" s="1" customFormat="1" ht="39.75" customHeight="1" x14ac:dyDescent="0.35">
      <c r="A1279" s="605"/>
      <c r="B1279" s="541"/>
      <c r="C1279" s="465"/>
      <c r="D1279" s="466" t="s">
        <v>644</v>
      </c>
      <c r="E1279" s="465"/>
      <c r="F1279" s="20"/>
      <c r="G1279" s="20"/>
      <c r="H1279" s="18"/>
      <c r="I1279" s="18">
        <f>H1278</f>
        <v>100</v>
      </c>
      <c r="J1279" s="128"/>
      <c r="K1279" s="466" t="s">
        <v>644</v>
      </c>
      <c r="L1279" s="20"/>
      <c r="M1279" s="124"/>
      <c r="N1279" s="124"/>
      <c r="O1279" s="18"/>
      <c r="P1279" s="18">
        <f>O1278</f>
        <v>100</v>
      </c>
      <c r="Q1279" s="18">
        <f>(I1279+P1279)/2</f>
        <v>100</v>
      </c>
      <c r="R1279" s="465" t="s">
        <v>25</v>
      </c>
      <c r="S1279" s="557"/>
      <c r="T1279" s="2"/>
    </row>
    <row r="1280" spans="1:20" s="1" customFormat="1" ht="243" customHeight="1" x14ac:dyDescent="0.35">
      <c r="A1280" s="605"/>
      <c r="B1280" s="541"/>
      <c r="C1280" s="454" t="s">
        <v>144</v>
      </c>
      <c r="D1280" s="59" t="s">
        <v>275</v>
      </c>
      <c r="E1280" s="454"/>
      <c r="F1280" s="454"/>
      <c r="G1280" s="454"/>
      <c r="H1280" s="35"/>
      <c r="I1280" s="35"/>
      <c r="J1280" s="454" t="s">
        <v>144</v>
      </c>
      <c r="K1280" s="59" t="s">
        <v>276</v>
      </c>
      <c r="L1280" s="19"/>
      <c r="M1280" s="19"/>
      <c r="N1280" s="19"/>
      <c r="O1280" s="35"/>
      <c r="P1280" s="468"/>
      <c r="Q1280" s="35"/>
      <c r="R1280" s="19"/>
      <c r="S1280" s="557"/>
      <c r="T1280" s="2"/>
    </row>
    <row r="1281" spans="1:20" s="1" customFormat="1" ht="75" customHeight="1" x14ac:dyDescent="0.35">
      <c r="A1281" s="605"/>
      <c r="B1281" s="541"/>
      <c r="C1281" s="19" t="s">
        <v>146</v>
      </c>
      <c r="D1281" s="41" t="s">
        <v>17</v>
      </c>
      <c r="E1281" s="19" t="s">
        <v>18</v>
      </c>
      <c r="F1281" s="19">
        <v>90</v>
      </c>
      <c r="G1281" s="19">
        <v>90</v>
      </c>
      <c r="H1281" s="24">
        <f>IF(G1281/F1281*100&gt;100,100,G1281/F1281*100)</f>
        <v>100</v>
      </c>
      <c r="I1281" s="19"/>
      <c r="J1281" s="19" t="s">
        <v>146</v>
      </c>
      <c r="K1281" s="41" t="s">
        <v>273</v>
      </c>
      <c r="L1281" s="19" t="s">
        <v>41</v>
      </c>
      <c r="M1281" s="19">
        <v>18</v>
      </c>
      <c r="N1281" s="19">
        <v>18</v>
      </c>
      <c r="O1281" s="24">
        <f>IF(N1281/M1281*100&gt;110,110,N1281/M1281*100)</f>
        <v>100</v>
      </c>
      <c r="P1281" s="468"/>
      <c r="Q1281" s="35"/>
      <c r="R1281" s="19"/>
      <c r="S1281" s="557"/>
      <c r="T1281" s="2"/>
    </row>
    <row r="1282" spans="1:20" s="1" customFormat="1" ht="57" customHeight="1" x14ac:dyDescent="0.35">
      <c r="A1282" s="605"/>
      <c r="B1282" s="541"/>
      <c r="C1282" s="465"/>
      <c r="D1282" s="466" t="s">
        <v>644</v>
      </c>
      <c r="E1282" s="465"/>
      <c r="F1282" s="20"/>
      <c r="G1282" s="20"/>
      <c r="H1282" s="18"/>
      <c r="I1282" s="18">
        <f>H1281</f>
        <v>100</v>
      </c>
      <c r="J1282" s="128"/>
      <c r="K1282" s="466" t="s">
        <v>644</v>
      </c>
      <c r="L1282" s="20"/>
      <c r="M1282" s="124"/>
      <c r="N1282" s="124"/>
      <c r="O1282" s="18"/>
      <c r="P1282" s="18">
        <f>O1281</f>
        <v>100</v>
      </c>
      <c r="Q1282" s="18">
        <f>(I1282+P1282)/2</f>
        <v>100</v>
      </c>
      <c r="R1282" s="465" t="s">
        <v>25</v>
      </c>
      <c r="S1282" s="557"/>
      <c r="T1282" s="2"/>
    </row>
    <row r="1283" spans="1:20" s="1" customFormat="1" ht="249.75" customHeight="1" x14ac:dyDescent="0.35">
      <c r="A1283" s="605"/>
      <c r="B1283" s="541"/>
      <c r="C1283" s="454" t="s">
        <v>147</v>
      </c>
      <c r="D1283" s="59" t="s">
        <v>274</v>
      </c>
      <c r="E1283" s="454"/>
      <c r="F1283" s="454"/>
      <c r="G1283" s="454"/>
      <c r="H1283" s="35"/>
      <c r="I1283" s="35"/>
      <c r="J1283" s="454" t="s">
        <v>147</v>
      </c>
      <c r="K1283" s="59" t="s">
        <v>274</v>
      </c>
      <c r="L1283" s="19"/>
      <c r="M1283" s="19"/>
      <c r="N1283" s="19"/>
      <c r="O1283" s="35"/>
      <c r="P1283" s="468"/>
      <c r="Q1283" s="35"/>
      <c r="R1283" s="19"/>
      <c r="S1283" s="557"/>
      <c r="T1283" s="2"/>
    </row>
    <row r="1284" spans="1:20" s="1" customFormat="1" ht="82.5" customHeight="1" x14ac:dyDescent="0.35">
      <c r="A1284" s="605"/>
      <c r="B1284" s="541"/>
      <c r="C1284" s="19" t="s">
        <v>149</v>
      </c>
      <c r="D1284" s="41" t="s">
        <v>17</v>
      </c>
      <c r="E1284" s="19" t="s">
        <v>18</v>
      </c>
      <c r="F1284" s="19">
        <v>90</v>
      </c>
      <c r="G1284" s="19">
        <v>90</v>
      </c>
      <c r="H1284" s="24">
        <f>IF(G1284/F1284*100&gt;100,100,G1284/F1284*100)</f>
        <v>100</v>
      </c>
      <c r="I1284" s="19"/>
      <c r="J1284" s="19" t="s">
        <v>149</v>
      </c>
      <c r="K1284" s="41" t="s">
        <v>273</v>
      </c>
      <c r="L1284" s="19" t="s">
        <v>41</v>
      </c>
      <c r="M1284" s="19">
        <v>105</v>
      </c>
      <c r="N1284" s="19">
        <v>105</v>
      </c>
      <c r="O1284" s="24">
        <f>IF(N1284/M1284*100&gt;110,110,N1284/M1284*100)</f>
        <v>100</v>
      </c>
      <c r="P1284" s="468"/>
      <c r="Q1284" s="35"/>
      <c r="R1284" s="19"/>
      <c r="S1284" s="557"/>
      <c r="T1284" s="2"/>
    </row>
    <row r="1285" spans="1:20" s="1" customFormat="1" ht="60.75" customHeight="1" x14ac:dyDescent="0.35">
      <c r="A1285" s="605"/>
      <c r="B1285" s="541"/>
      <c r="C1285" s="465"/>
      <c r="D1285" s="466" t="s">
        <v>644</v>
      </c>
      <c r="E1285" s="465"/>
      <c r="F1285" s="20"/>
      <c r="G1285" s="20"/>
      <c r="H1285" s="18"/>
      <c r="I1285" s="18">
        <f>H1284</f>
        <v>100</v>
      </c>
      <c r="J1285" s="128"/>
      <c r="K1285" s="466" t="s">
        <v>644</v>
      </c>
      <c r="L1285" s="20"/>
      <c r="M1285" s="124"/>
      <c r="N1285" s="124"/>
      <c r="O1285" s="18"/>
      <c r="P1285" s="18">
        <f>O1284</f>
        <v>100</v>
      </c>
      <c r="Q1285" s="18">
        <f>(I1285+P1285)/2</f>
        <v>100</v>
      </c>
      <c r="R1285" s="465" t="s">
        <v>25</v>
      </c>
      <c r="S1285" s="557"/>
      <c r="T1285" s="2"/>
    </row>
    <row r="1286" spans="1:20" s="1" customFormat="1" ht="51" customHeight="1" x14ac:dyDescent="0.35">
      <c r="A1286" s="605"/>
      <c r="B1286" s="541"/>
      <c r="C1286" s="454" t="s">
        <v>150</v>
      </c>
      <c r="D1286" s="59" t="s">
        <v>130</v>
      </c>
      <c r="E1286" s="19"/>
      <c r="F1286" s="19"/>
      <c r="G1286" s="19"/>
      <c r="H1286" s="35"/>
      <c r="I1286" s="35"/>
      <c r="J1286" s="454" t="str">
        <f>C1286</f>
        <v>IX</v>
      </c>
      <c r="K1286" s="59" t="str">
        <f>D1286</f>
        <v>Реализация дополнительных общеразвивающих программ</v>
      </c>
      <c r="L1286" s="19"/>
      <c r="M1286" s="122"/>
      <c r="N1286" s="122"/>
      <c r="O1286" s="35"/>
      <c r="P1286" s="468"/>
      <c r="Q1286" s="35"/>
      <c r="R1286" s="19"/>
      <c r="S1286" s="557"/>
      <c r="T1286" s="2"/>
    </row>
    <row r="1287" spans="1:20" s="1" customFormat="1" ht="76.5" customHeight="1" x14ac:dyDescent="0.35">
      <c r="A1287" s="605"/>
      <c r="B1287" s="541"/>
      <c r="C1287" s="19" t="s">
        <v>152</v>
      </c>
      <c r="D1287" s="41" t="s">
        <v>128</v>
      </c>
      <c r="E1287" s="19" t="s">
        <v>18</v>
      </c>
      <c r="F1287" s="19">
        <v>90</v>
      </c>
      <c r="G1287" s="19">
        <v>90</v>
      </c>
      <c r="H1287" s="24">
        <f>IF(G1287/F1287*100&gt;100,100,G1287/F1287*100)</f>
        <v>100</v>
      </c>
      <c r="I1287" s="19"/>
      <c r="J1287" s="19" t="s">
        <v>152</v>
      </c>
      <c r="K1287" s="41" t="s">
        <v>136</v>
      </c>
      <c r="L1287" s="19" t="s">
        <v>139</v>
      </c>
      <c r="M1287" s="19">
        <v>50673.599999999999</v>
      </c>
      <c r="N1287" s="19">
        <v>53173.49</v>
      </c>
      <c r="O1287" s="24">
        <f>IF(N1287/M1287*100&gt;110,110,N1287/M1287*100)</f>
        <v>104.93331833538568</v>
      </c>
      <c r="P1287" s="468"/>
      <c r="Q1287" s="35"/>
      <c r="R1287" s="19"/>
      <c r="S1287" s="557"/>
      <c r="T1287" s="2"/>
    </row>
    <row r="1288" spans="1:20" s="1" customFormat="1" ht="39.75" customHeight="1" x14ac:dyDescent="0.35">
      <c r="A1288" s="605"/>
      <c r="B1288" s="541"/>
      <c r="C1288" s="465"/>
      <c r="D1288" s="466" t="s">
        <v>644</v>
      </c>
      <c r="E1288" s="465"/>
      <c r="F1288" s="20"/>
      <c r="G1288" s="20"/>
      <c r="H1288" s="18"/>
      <c r="I1288" s="18">
        <f>H1287</f>
        <v>100</v>
      </c>
      <c r="J1288" s="128"/>
      <c r="K1288" s="466" t="s">
        <v>644</v>
      </c>
      <c r="L1288" s="20"/>
      <c r="M1288" s="124"/>
      <c r="N1288" s="124"/>
      <c r="O1288" s="18"/>
      <c r="P1288" s="18">
        <f>O1287</f>
        <v>104.93331833538568</v>
      </c>
      <c r="Q1288" s="18">
        <f>(I1288+P1288)/2</f>
        <v>102.46665916769284</v>
      </c>
      <c r="R1288" s="465" t="s">
        <v>25</v>
      </c>
      <c r="S1288" s="557"/>
      <c r="T1288" s="2"/>
    </row>
    <row r="1289" spans="1:20" s="1" customFormat="1" ht="84" customHeight="1" x14ac:dyDescent="0.35">
      <c r="A1289" s="605">
        <v>61</v>
      </c>
      <c r="B1289" s="541" t="s">
        <v>194</v>
      </c>
      <c r="C1289" s="454" t="s">
        <v>13</v>
      </c>
      <c r="D1289" s="59" t="s">
        <v>103</v>
      </c>
      <c r="E1289" s="454"/>
      <c r="F1289" s="454"/>
      <c r="G1289" s="454"/>
      <c r="H1289" s="35"/>
      <c r="I1289" s="35"/>
      <c r="J1289" s="454" t="s">
        <v>13</v>
      </c>
      <c r="K1289" s="59" t="s">
        <v>103</v>
      </c>
      <c r="L1289" s="19"/>
      <c r="M1289" s="19"/>
      <c r="N1289" s="19"/>
      <c r="O1289" s="35"/>
      <c r="P1289" s="468"/>
      <c r="Q1289" s="35"/>
      <c r="R1289" s="19"/>
      <c r="S1289" s="557" t="s">
        <v>104</v>
      </c>
      <c r="T1289" s="2"/>
    </row>
    <row r="1290" spans="1:20" s="1" customFormat="1" ht="82.5" customHeight="1" x14ac:dyDescent="0.35">
      <c r="A1290" s="605"/>
      <c r="B1290" s="541"/>
      <c r="C1290" s="19" t="s">
        <v>16</v>
      </c>
      <c r="D1290" s="41" t="s">
        <v>105</v>
      </c>
      <c r="E1290" s="19" t="s">
        <v>18</v>
      </c>
      <c r="F1290" s="19">
        <v>100</v>
      </c>
      <c r="G1290" s="19">
        <v>100</v>
      </c>
      <c r="H1290" s="24">
        <f>IF(G1290/F1290*100&gt;100,100,G1290/F1290*100)</f>
        <v>100</v>
      </c>
      <c r="I1290" s="19"/>
      <c r="J1290" s="19" t="s">
        <v>16</v>
      </c>
      <c r="K1290" s="41" t="s">
        <v>106</v>
      </c>
      <c r="L1290" s="19" t="s">
        <v>20</v>
      </c>
      <c r="M1290" s="19">
        <v>246</v>
      </c>
      <c r="N1290" s="19">
        <v>260</v>
      </c>
      <c r="O1290" s="24">
        <f>IF(N1290/M1290*100&gt;110,110,N1290/M1290*100)</f>
        <v>105.6910569105691</v>
      </c>
      <c r="P1290" s="468"/>
      <c r="Q1290" s="35"/>
      <c r="R1290" s="19"/>
      <c r="S1290" s="557"/>
      <c r="T1290" s="2"/>
    </row>
    <row r="1291" spans="1:20" s="1" customFormat="1" x14ac:dyDescent="0.35">
      <c r="A1291" s="605"/>
      <c r="B1291" s="541"/>
      <c r="C1291" s="19" t="s">
        <v>21</v>
      </c>
      <c r="D1291" s="41" t="s">
        <v>135</v>
      </c>
      <c r="E1291" s="19" t="s">
        <v>18</v>
      </c>
      <c r="F1291" s="19">
        <v>100</v>
      </c>
      <c r="G1291" s="19">
        <v>100</v>
      </c>
      <c r="H1291" s="24">
        <f>IF(G1291/F1291*100&gt;100,100,G1291/F1291*100)</f>
        <v>100</v>
      </c>
      <c r="I1291" s="19"/>
      <c r="J1291" s="19"/>
      <c r="K1291" s="455"/>
      <c r="L1291" s="19"/>
      <c r="M1291" s="476"/>
      <c r="N1291" s="476"/>
      <c r="O1291" s="24"/>
      <c r="P1291" s="468"/>
      <c r="Q1291" s="35"/>
      <c r="R1291" s="19"/>
      <c r="S1291" s="557"/>
      <c r="T1291" s="2"/>
    </row>
    <row r="1292" spans="1:20" s="1" customFormat="1" ht="45" customHeight="1" x14ac:dyDescent="0.35">
      <c r="A1292" s="605"/>
      <c r="B1292" s="541"/>
      <c r="C1292" s="19" t="s">
        <v>23</v>
      </c>
      <c r="D1292" s="41" t="s">
        <v>108</v>
      </c>
      <c r="E1292" s="19" t="s">
        <v>18</v>
      </c>
      <c r="F1292" s="19">
        <v>100</v>
      </c>
      <c r="G1292" s="19">
        <v>100</v>
      </c>
      <c r="H1292" s="24">
        <f>IF(G1292/F1292*100&gt;100,100,G1292/F1292*100)</f>
        <v>100</v>
      </c>
      <c r="I1292" s="19"/>
      <c r="J1292" s="129"/>
      <c r="K1292" s="41"/>
      <c r="L1292" s="19"/>
      <c r="M1292" s="122"/>
      <c r="N1292" s="122"/>
      <c r="O1292" s="24"/>
      <c r="P1292" s="468"/>
      <c r="Q1292" s="35"/>
      <c r="R1292" s="19"/>
      <c r="S1292" s="557"/>
      <c r="T1292" s="2"/>
    </row>
    <row r="1293" spans="1:20" s="1" customFormat="1" ht="61.5" customHeight="1" x14ac:dyDescent="0.35">
      <c r="A1293" s="605"/>
      <c r="B1293" s="541"/>
      <c r="C1293" s="19" t="s">
        <v>109</v>
      </c>
      <c r="D1293" s="41" t="s">
        <v>157</v>
      </c>
      <c r="E1293" s="19" t="s">
        <v>18</v>
      </c>
      <c r="F1293" s="19">
        <v>90</v>
      </c>
      <c r="G1293" s="19">
        <v>100</v>
      </c>
      <c r="H1293" s="24">
        <f>IF(G1293/F1293*100&gt;100,100,G1293/F1293*100)</f>
        <v>100</v>
      </c>
      <c r="I1293" s="19"/>
      <c r="J1293" s="129"/>
      <c r="K1293" s="41"/>
      <c r="L1293" s="19"/>
      <c r="M1293" s="122"/>
      <c r="N1293" s="122"/>
      <c r="O1293" s="24"/>
      <c r="P1293" s="468"/>
      <c r="Q1293" s="35"/>
      <c r="R1293" s="19"/>
      <c r="S1293" s="557"/>
      <c r="T1293" s="2"/>
    </row>
    <row r="1294" spans="1:20" s="1" customFormat="1" ht="111.75" customHeight="1" x14ac:dyDescent="0.35">
      <c r="A1294" s="605"/>
      <c r="B1294" s="541"/>
      <c r="C1294" s="19" t="s">
        <v>110</v>
      </c>
      <c r="D1294" s="41" t="s">
        <v>111</v>
      </c>
      <c r="E1294" s="19" t="s">
        <v>18</v>
      </c>
      <c r="F1294" s="19">
        <v>100</v>
      </c>
      <c r="G1294" s="19">
        <v>100</v>
      </c>
      <c r="H1294" s="24">
        <f>IF(G1294/F1294*100&gt;100,100,G1294/F1294*100)</f>
        <v>100</v>
      </c>
      <c r="I1294" s="19"/>
      <c r="J1294" s="129"/>
      <c r="K1294" s="41"/>
      <c r="L1294" s="19"/>
      <c r="M1294" s="122"/>
      <c r="N1294" s="122"/>
      <c r="O1294" s="24"/>
      <c r="P1294" s="468"/>
      <c r="Q1294" s="35"/>
      <c r="R1294" s="19"/>
      <c r="S1294" s="557"/>
      <c r="T1294" s="2"/>
    </row>
    <row r="1295" spans="1:20" s="1" customFormat="1" ht="40.5" customHeight="1" x14ac:dyDescent="0.35">
      <c r="A1295" s="605"/>
      <c r="B1295" s="541"/>
      <c r="C1295" s="465"/>
      <c r="D1295" s="466" t="s">
        <v>644</v>
      </c>
      <c r="E1295" s="465"/>
      <c r="F1295" s="20"/>
      <c r="G1295" s="20"/>
      <c r="H1295" s="18"/>
      <c r="I1295" s="18">
        <f>(H1290+H1291+H1292+H1293+H1294)/5</f>
        <v>100</v>
      </c>
      <c r="J1295" s="128"/>
      <c r="K1295" s="466" t="s">
        <v>644</v>
      </c>
      <c r="L1295" s="20"/>
      <c r="M1295" s="124"/>
      <c r="N1295" s="124"/>
      <c r="O1295" s="18"/>
      <c r="P1295" s="18">
        <f>O1290</f>
        <v>105.6910569105691</v>
      </c>
      <c r="Q1295" s="18">
        <f>(I1295+P1295)/2</f>
        <v>102.84552845528455</v>
      </c>
      <c r="R1295" s="465" t="s">
        <v>25</v>
      </c>
      <c r="S1295" s="557"/>
      <c r="T1295" s="2"/>
    </row>
    <row r="1296" spans="1:20" s="1" customFormat="1" ht="85.5" customHeight="1" x14ac:dyDescent="0.35">
      <c r="A1296" s="605"/>
      <c r="B1296" s="541"/>
      <c r="C1296" s="454" t="s">
        <v>26</v>
      </c>
      <c r="D1296" s="59" t="s">
        <v>113</v>
      </c>
      <c r="E1296" s="19"/>
      <c r="F1296" s="19"/>
      <c r="G1296" s="19"/>
      <c r="H1296" s="35"/>
      <c r="I1296" s="35"/>
      <c r="J1296" s="454" t="s">
        <v>26</v>
      </c>
      <c r="K1296" s="59" t="s">
        <v>113</v>
      </c>
      <c r="L1296" s="19"/>
      <c r="M1296" s="122"/>
      <c r="N1296" s="122"/>
      <c r="O1296" s="35"/>
      <c r="P1296" s="468"/>
      <c r="Q1296" s="35"/>
      <c r="R1296" s="19"/>
      <c r="S1296" s="557"/>
      <c r="T1296" s="2"/>
    </row>
    <row r="1297" spans="1:20" s="1" customFormat="1" ht="79.5" customHeight="1" x14ac:dyDescent="0.35">
      <c r="A1297" s="605"/>
      <c r="B1297" s="541"/>
      <c r="C1297" s="19" t="s">
        <v>28</v>
      </c>
      <c r="D1297" s="41" t="s">
        <v>114</v>
      </c>
      <c r="E1297" s="19" t="s">
        <v>18</v>
      </c>
      <c r="F1297" s="19">
        <v>100</v>
      </c>
      <c r="G1297" s="19">
        <v>100</v>
      </c>
      <c r="H1297" s="24">
        <f>IF(G1297/F1297*100&gt;100,100,G1297/F1297*100)</f>
        <v>100</v>
      </c>
      <c r="I1297" s="19"/>
      <c r="J1297" s="129" t="s">
        <v>28</v>
      </c>
      <c r="K1297" s="41" t="s">
        <v>106</v>
      </c>
      <c r="L1297" s="19" t="s">
        <v>20</v>
      </c>
      <c r="M1297" s="19">
        <v>380</v>
      </c>
      <c r="N1297" s="19">
        <v>373</v>
      </c>
      <c r="O1297" s="24">
        <f>IF(N1297/M1297*100&gt;110,110,N1297/M1297*100)</f>
        <v>98.15789473684211</v>
      </c>
      <c r="P1297" s="19"/>
      <c r="Q1297" s="35"/>
      <c r="R1297" s="19"/>
      <c r="S1297" s="557"/>
      <c r="T1297" s="2"/>
    </row>
    <row r="1298" spans="1:20" s="1" customFormat="1" x14ac:dyDescent="0.35">
      <c r="A1298" s="605"/>
      <c r="B1298" s="541"/>
      <c r="C1298" s="19" t="s">
        <v>30</v>
      </c>
      <c r="D1298" s="41" t="s">
        <v>115</v>
      </c>
      <c r="E1298" s="19" t="s">
        <v>18</v>
      </c>
      <c r="F1298" s="19">
        <v>100</v>
      </c>
      <c r="G1298" s="19">
        <v>100</v>
      </c>
      <c r="H1298" s="24">
        <f>IF(G1298/F1298*100&gt;100,100,G1298/F1298*100)</f>
        <v>100</v>
      </c>
      <c r="I1298" s="19"/>
      <c r="J1298" s="129"/>
      <c r="K1298" s="41"/>
      <c r="L1298" s="19"/>
      <c r="M1298" s="122"/>
      <c r="N1298" s="122"/>
      <c r="O1298" s="24"/>
      <c r="P1298" s="468"/>
      <c r="Q1298" s="35"/>
      <c r="R1298" s="19"/>
      <c r="S1298" s="557"/>
      <c r="T1298" s="2"/>
    </row>
    <row r="1299" spans="1:20" s="1" customFormat="1" ht="64.5" customHeight="1" x14ac:dyDescent="0.35">
      <c r="A1299" s="605"/>
      <c r="B1299" s="541"/>
      <c r="C1299" s="19" t="s">
        <v>34</v>
      </c>
      <c r="D1299" s="41" t="s">
        <v>108</v>
      </c>
      <c r="E1299" s="19" t="s">
        <v>18</v>
      </c>
      <c r="F1299" s="19">
        <v>100</v>
      </c>
      <c r="G1299" s="19">
        <v>100</v>
      </c>
      <c r="H1299" s="24">
        <f>IF(G1299/F1299*100&gt;100,100,G1299/F1299*100)</f>
        <v>100</v>
      </c>
      <c r="I1299" s="19"/>
      <c r="J1299" s="129"/>
      <c r="K1299" s="41"/>
      <c r="L1299" s="19"/>
      <c r="M1299" s="122"/>
      <c r="N1299" s="122"/>
      <c r="O1299" s="24"/>
      <c r="P1299" s="468"/>
      <c r="Q1299" s="35"/>
      <c r="R1299" s="19"/>
      <c r="S1299" s="557"/>
      <c r="T1299" s="2"/>
    </row>
    <row r="1300" spans="1:20" s="1" customFormat="1" ht="83.25" customHeight="1" x14ac:dyDescent="0.35">
      <c r="A1300" s="605"/>
      <c r="B1300" s="541"/>
      <c r="C1300" s="19" t="s">
        <v>78</v>
      </c>
      <c r="D1300" s="41" t="s">
        <v>157</v>
      </c>
      <c r="E1300" s="19" t="s">
        <v>18</v>
      </c>
      <c r="F1300" s="19">
        <v>90</v>
      </c>
      <c r="G1300" s="19">
        <v>100</v>
      </c>
      <c r="H1300" s="24">
        <f>IF(G1300/F1300*100&gt;100,100,G1300/F1300*100)</f>
        <v>100</v>
      </c>
      <c r="I1300" s="19"/>
      <c r="J1300" s="129"/>
      <c r="K1300" s="41"/>
      <c r="L1300" s="19"/>
      <c r="M1300" s="122"/>
      <c r="N1300" s="122"/>
      <c r="O1300" s="24"/>
      <c r="P1300" s="468"/>
      <c r="Q1300" s="35"/>
      <c r="R1300" s="19"/>
      <c r="S1300" s="557"/>
      <c r="T1300" s="2"/>
    </row>
    <row r="1301" spans="1:20" s="1" customFormat="1" ht="135.75" customHeight="1" x14ac:dyDescent="0.35">
      <c r="A1301" s="605"/>
      <c r="B1301" s="541"/>
      <c r="C1301" s="19" t="s">
        <v>79</v>
      </c>
      <c r="D1301" s="41" t="s">
        <v>111</v>
      </c>
      <c r="E1301" s="19" t="s">
        <v>18</v>
      </c>
      <c r="F1301" s="19">
        <v>100</v>
      </c>
      <c r="G1301" s="19">
        <v>100</v>
      </c>
      <c r="H1301" s="24">
        <f>IF(G1301/F1301*100&gt;100,100,G1301/F1301*100)</f>
        <v>100</v>
      </c>
      <c r="I1301" s="19"/>
      <c r="J1301" s="129"/>
      <c r="K1301" s="41"/>
      <c r="L1301" s="19"/>
      <c r="M1301" s="122"/>
      <c r="N1301" s="122"/>
      <c r="O1301" s="24"/>
      <c r="P1301" s="468"/>
      <c r="Q1301" s="35"/>
      <c r="R1301" s="19"/>
      <c r="S1301" s="557"/>
      <c r="T1301" s="2"/>
    </row>
    <row r="1302" spans="1:20" s="1" customFormat="1" ht="40.5" customHeight="1" x14ac:dyDescent="0.35">
      <c r="A1302" s="605"/>
      <c r="B1302" s="541"/>
      <c r="C1302" s="465"/>
      <c r="D1302" s="466" t="s">
        <v>644</v>
      </c>
      <c r="E1302" s="465"/>
      <c r="F1302" s="20"/>
      <c r="G1302" s="20"/>
      <c r="H1302" s="18"/>
      <c r="I1302" s="18">
        <f>(H1297+H1298+H1299+H1300+H1301)/5</f>
        <v>100</v>
      </c>
      <c r="J1302" s="128"/>
      <c r="K1302" s="466" t="s">
        <v>644</v>
      </c>
      <c r="L1302" s="20"/>
      <c r="M1302" s="124"/>
      <c r="N1302" s="124"/>
      <c r="O1302" s="18"/>
      <c r="P1302" s="18">
        <f>O1297</f>
        <v>98.15789473684211</v>
      </c>
      <c r="Q1302" s="18">
        <f>(I1302+P1302)/2</f>
        <v>99.078947368421055</v>
      </c>
      <c r="R1302" s="465" t="s">
        <v>112</v>
      </c>
      <c r="S1302" s="557"/>
      <c r="T1302" s="2"/>
    </row>
    <row r="1303" spans="1:20" s="1" customFormat="1" ht="103.5" customHeight="1" x14ac:dyDescent="0.35">
      <c r="A1303" s="605"/>
      <c r="B1303" s="541"/>
      <c r="C1303" s="454" t="s">
        <v>36</v>
      </c>
      <c r="D1303" s="59" t="s">
        <v>116</v>
      </c>
      <c r="E1303" s="19"/>
      <c r="F1303" s="19"/>
      <c r="G1303" s="19"/>
      <c r="H1303" s="35"/>
      <c r="I1303" s="35"/>
      <c r="J1303" s="454" t="s">
        <v>36</v>
      </c>
      <c r="K1303" s="59" t="str">
        <f>D1303</f>
        <v>Реализация основных общеобразовательных программ среднего общего образования</v>
      </c>
      <c r="L1303" s="19"/>
      <c r="M1303" s="122"/>
      <c r="N1303" s="122"/>
      <c r="O1303" s="35"/>
      <c r="P1303" s="468"/>
      <c r="Q1303" s="35"/>
      <c r="R1303" s="19"/>
      <c r="S1303" s="557"/>
      <c r="T1303" s="2"/>
    </row>
    <row r="1304" spans="1:20" s="1" customFormat="1" ht="87.75" customHeight="1" x14ac:dyDescent="0.35">
      <c r="A1304" s="605"/>
      <c r="B1304" s="541"/>
      <c r="C1304" s="19" t="s">
        <v>38</v>
      </c>
      <c r="D1304" s="41" t="s">
        <v>117</v>
      </c>
      <c r="E1304" s="19" t="s">
        <v>18</v>
      </c>
      <c r="F1304" s="19">
        <v>100</v>
      </c>
      <c r="G1304" s="19">
        <v>100</v>
      </c>
      <c r="H1304" s="24">
        <f>IF(G1304/F1304*100&gt;100,100,G1304/F1304*100)</f>
        <v>100</v>
      </c>
      <c r="I1304" s="19"/>
      <c r="J1304" s="129" t="s">
        <v>38</v>
      </c>
      <c r="K1304" s="41" t="s">
        <v>106</v>
      </c>
      <c r="L1304" s="19" t="s">
        <v>20</v>
      </c>
      <c r="M1304" s="19">
        <v>64</v>
      </c>
      <c r="N1304" s="19">
        <v>63</v>
      </c>
      <c r="O1304" s="24">
        <f>IF(N1304/M1304*100&gt;110,110,N1304/M1304*100)</f>
        <v>98.4375</v>
      </c>
      <c r="P1304" s="19"/>
      <c r="Q1304" s="35"/>
      <c r="R1304" s="19"/>
      <c r="S1304" s="557"/>
      <c r="T1304" s="2"/>
    </row>
    <row r="1305" spans="1:20" s="1" customFormat="1" x14ac:dyDescent="0.35">
      <c r="A1305" s="605"/>
      <c r="B1305" s="541"/>
      <c r="C1305" s="19" t="s">
        <v>118</v>
      </c>
      <c r="D1305" s="41" t="s">
        <v>119</v>
      </c>
      <c r="E1305" s="19" t="s">
        <v>18</v>
      </c>
      <c r="F1305" s="19">
        <v>100</v>
      </c>
      <c r="G1305" s="19">
        <v>100</v>
      </c>
      <c r="H1305" s="24">
        <f>IF(G1305/F1305*100&gt;100,100,G1305/F1305*100)</f>
        <v>100</v>
      </c>
      <c r="I1305" s="19"/>
      <c r="J1305" s="129"/>
      <c r="K1305" s="41"/>
      <c r="L1305" s="19"/>
      <c r="M1305" s="122"/>
      <c r="N1305" s="122"/>
      <c r="O1305" s="24"/>
      <c r="P1305" s="468"/>
      <c r="Q1305" s="35"/>
      <c r="R1305" s="19"/>
      <c r="S1305" s="557"/>
      <c r="T1305" s="2"/>
    </row>
    <row r="1306" spans="1:20" s="1" customFormat="1" ht="63.75" customHeight="1" x14ac:dyDescent="0.35">
      <c r="A1306" s="605"/>
      <c r="B1306" s="541"/>
      <c r="C1306" s="19" t="s">
        <v>120</v>
      </c>
      <c r="D1306" s="41" t="s">
        <v>108</v>
      </c>
      <c r="E1306" s="19" t="s">
        <v>18</v>
      </c>
      <c r="F1306" s="19">
        <v>100</v>
      </c>
      <c r="G1306" s="19">
        <v>100</v>
      </c>
      <c r="H1306" s="24">
        <f>IF(G1306/F1306*100&gt;100,100,G1306/F1306*100)</f>
        <v>100</v>
      </c>
      <c r="I1306" s="19"/>
      <c r="J1306" s="129"/>
      <c r="K1306" s="41"/>
      <c r="L1306" s="19"/>
      <c r="M1306" s="122"/>
      <c r="N1306" s="122"/>
      <c r="O1306" s="24"/>
      <c r="P1306" s="468"/>
      <c r="Q1306" s="35"/>
      <c r="R1306" s="19"/>
      <c r="S1306" s="557"/>
      <c r="T1306" s="2"/>
    </row>
    <row r="1307" spans="1:20" s="1" customFormat="1" ht="69.75" customHeight="1" x14ac:dyDescent="0.35">
      <c r="A1307" s="605"/>
      <c r="B1307" s="541"/>
      <c r="C1307" s="19" t="s">
        <v>121</v>
      </c>
      <c r="D1307" s="41" t="s">
        <v>157</v>
      </c>
      <c r="E1307" s="19" t="s">
        <v>18</v>
      </c>
      <c r="F1307" s="19">
        <v>90</v>
      </c>
      <c r="G1307" s="19">
        <v>100</v>
      </c>
      <c r="H1307" s="24">
        <f>IF(G1307/F1307*100&gt;100,100,G1307/F1307*100)</f>
        <v>100</v>
      </c>
      <c r="I1307" s="19"/>
      <c r="J1307" s="129"/>
      <c r="K1307" s="41"/>
      <c r="L1307" s="19"/>
      <c r="M1307" s="122"/>
      <c r="N1307" s="122"/>
      <c r="O1307" s="24"/>
      <c r="P1307" s="468"/>
      <c r="Q1307" s="35"/>
      <c r="R1307" s="19"/>
      <c r="S1307" s="557"/>
      <c r="T1307" s="2"/>
    </row>
    <row r="1308" spans="1:20" s="1" customFormat="1" ht="129.75" customHeight="1" x14ac:dyDescent="0.35">
      <c r="A1308" s="605"/>
      <c r="B1308" s="541"/>
      <c r="C1308" s="19" t="s">
        <v>122</v>
      </c>
      <c r="D1308" s="41" t="s">
        <v>111</v>
      </c>
      <c r="E1308" s="19" t="s">
        <v>18</v>
      </c>
      <c r="F1308" s="19">
        <v>100</v>
      </c>
      <c r="G1308" s="19">
        <v>100</v>
      </c>
      <c r="H1308" s="24">
        <f>IF(G1308/F1308*100&gt;100,100,G1308/F1308*100)</f>
        <v>100</v>
      </c>
      <c r="I1308" s="19"/>
      <c r="J1308" s="129"/>
      <c r="K1308" s="41"/>
      <c r="L1308" s="19"/>
      <c r="M1308" s="122"/>
      <c r="N1308" s="122"/>
      <c r="O1308" s="24"/>
      <c r="P1308" s="468"/>
      <c r="Q1308" s="35"/>
      <c r="R1308" s="19"/>
      <c r="S1308" s="557"/>
      <c r="T1308" s="2"/>
    </row>
    <row r="1309" spans="1:20" s="1" customFormat="1" ht="40.5" customHeight="1" x14ac:dyDescent="0.35">
      <c r="A1309" s="605"/>
      <c r="B1309" s="541"/>
      <c r="C1309" s="465"/>
      <c r="D1309" s="466" t="s">
        <v>644</v>
      </c>
      <c r="E1309" s="465"/>
      <c r="F1309" s="20"/>
      <c r="G1309" s="20"/>
      <c r="H1309" s="18"/>
      <c r="I1309" s="18">
        <f>(H1304+H1305+H1306+H1307+H1308)/5</f>
        <v>100</v>
      </c>
      <c r="J1309" s="128"/>
      <c r="K1309" s="466" t="s">
        <v>644</v>
      </c>
      <c r="L1309" s="20"/>
      <c r="M1309" s="124"/>
      <c r="N1309" s="124"/>
      <c r="O1309" s="18"/>
      <c r="P1309" s="18">
        <f>O1304</f>
        <v>98.4375</v>
      </c>
      <c r="Q1309" s="18">
        <f>(I1309+P1309)/2</f>
        <v>99.21875</v>
      </c>
      <c r="R1309" s="465" t="s">
        <v>112</v>
      </c>
      <c r="S1309" s="557"/>
      <c r="T1309" s="2"/>
    </row>
    <row r="1310" spans="1:20" s="1" customFormat="1" x14ac:dyDescent="0.35">
      <c r="A1310" s="605"/>
      <c r="B1310" s="541"/>
      <c r="C1310" s="454" t="s">
        <v>123</v>
      </c>
      <c r="D1310" s="59" t="s">
        <v>27</v>
      </c>
      <c r="E1310" s="19"/>
      <c r="F1310" s="19"/>
      <c r="G1310" s="19"/>
      <c r="H1310" s="35"/>
      <c r="I1310" s="35"/>
      <c r="J1310" s="454" t="s">
        <v>123</v>
      </c>
      <c r="K1310" s="59" t="s">
        <v>27</v>
      </c>
      <c r="L1310" s="19"/>
      <c r="M1310" s="122"/>
      <c r="N1310" s="122"/>
      <c r="O1310" s="35"/>
      <c r="P1310" s="468"/>
      <c r="Q1310" s="35"/>
      <c r="R1310" s="19"/>
      <c r="S1310" s="557"/>
      <c r="T1310" s="2"/>
    </row>
    <row r="1311" spans="1:20" s="1" customFormat="1" ht="48.75" customHeight="1" x14ac:dyDescent="0.35">
      <c r="A1311" s="605"/>
      <c r="B1311" s="541"/>
      <c r="C1311" s="19" t="s">
        <v>124</v>
      </c>
      <c r="D1311" s="41" t="s">
        <v>125</v>
      </c>
      <c r="E1311" s="19" t="s">
        <v>18</v>
      </c>
      <c r="F1311" s="19">
        <v>100</v>
      </c>
      <c r="G1311" s="19">
        <v>100</v>
      </c>
      <c r="H1311" s="24">
        <f>IF(G1311/F1311*100&gt;100,100,G1311/F1311*100)</f>
        <v>100</v>
      </c>
      <c r="I1311" s="19"/>
      <c r="J1311" s="129" t="s">
        <v>124</v>
      </c>
      <c r="K1311" s="41" t="s">
        <v>106</v>
      </c>
      <c r="L1311" s="19" t="s">
        <v>20</v>
      </c>
      <c r="M1311" s="19">
        <v>160</v>
      </c>
      <c r="N1311" s="19">
        <v>160</v>
      </c>
      <c r="O1311" s="24">
        <f>IF(N1311/M1311*100&gt;110,110,N1311/M1311*100)</f>
        <v>100</v>
      </c>
      <c r="P1311" s="468"/>
      <c r="Q1311" s="35"/>
      <c r="R1311" s="19"/>
      <c r="S1311" s="557"/>
      <c r="T1311" s="2"/>
    </row>
    <row r="1312" spans="1:20" s="1" customFormat="1" ht="82.5" customHeight="1" x14ac:dyDescent="0.35">
      <c r="A1312" s="605"/>
      <c r="B1312" s="541"/>
      <c r="C1312" s="19" t="s">
        <v>127</v>
      </c>
      <c r="D1312" s="41" t="s">
        <v>128</v>
      </c>
      <c r="E1312" s="19" t="s">
        <v>18</v>
      </c>
      <c r="F1312" s="19">
        <v>90</v>
      </c>
      <c r="G1312" s="19">
        <v>90</v>
      </c>
      <c r="H1312" s="24">
        <f>IF(G1312/F1312*100&gt;100,100,G1312/F1312*100)</f>
        <v>100</v>
      </c>
      <c r="I1312" s="19"/>
      <c r="J1312" s="129"/>
      <c r="K1312" s="41"/>
      <c r="L1312" s="19"/>
      <c r="M1312" s="122"/>
      <c r="N1312" s="122"/>
      <c r="O1312" s="24"/>
      <c r="P1312" s="468"/>
      <c r="Q1312" s="35"/>
      <c r="R1312" s="19"/>
      <c r="S1312" s="557"/>
      <c r="T1312" s="2"/>
    </row>
    <row r="1313" spans="1:20" s="1" customFormat="1" ht="40.5" customHeight="1" x14ac:dyDescent="0.35">
      <c r="A1313" s="605"/>
      <c r="B1313" s="541"/>
      <c r="C1313" s="465"/>
      <c r="D1313" s="466" t="s">
        <v>644</v>
      </c>
      <c r="E1313" s="465"/>
      <c r="F1313" s="20"/>
      <c r="G1313" s="20"/>
      <c r="H1313" s="18"/>
      <c r="I1313" s="18">
        <f>(H1311+H1312)/2</f>
        <v>100</v>
      </c>
      <c r="J1313" s="128"/>
      <c r="K1313" s="466" t="s">
        <v>644</v>
      </c>
      <c r="L1313" s="20"/>
      <c r="M1313" s="124"/>
      <c r="N1313" s="124"/>
      <c r="O1313" s="18"/>
      <c r="P1313" s="18">
        <f>O1311</f>
        <v>100</v>
      </c>
      <c r="Q1313" s="18">
        <f>(I1313+P1313)/2</f>
        <v>100</v>
      </c>
      <c r="R1313" s="465" t="s">
        <v>25</v>
      </c>
      <c r="S1313" s="557"/>
      <c r="T1313" s="2"/>
    </row>
    <row r="1314" spans="1:20" s="1" customFormat="1" ht="243.75" customHeight="1" x14ac:dyDescent="0.35">
      <c r="A1314" s="605"/>
      <c r="B1314" s="541"/>
      <c r="C1314" s="454" t="s">
        <v>129</v>
      </c>
      <c r="D1314" s="59" t="s">
        <v>274</v>
      </c>
      <c r="E1314" s="454"/>
      <c r="F1314" s="454"/>
      <c r="G1314" s="454"/>
      <c r="H1314" s="35"/>
      <c r="I1314" s="35"/>
      <c r="J1314" s="454" t="s">
        <v>129</v>
      </c>
      <c r="K1314" s="59" t="s">
        <v>274</v>
      </c>
      <c r="L1314" s="19"/>
      <c r="M1314" s="19"/>
      <c r="N1314" s="19"/>
      <c r="O1314" s="35"/>
      <c r="P1314" s="468"/>
      <c r="Q1314" s="35"/>
      <c r="R1314" s="19"/>
      <c r="S1314" s="557"/>
      <c r="T1314" s="2"/>
    </row>
    <row r="1315" spans="1:20" s="1" customFormat="1" ht="75" customHeight="1" x14ac:dyDescent="0.35">
      <c r="A1315" s="605"/>
      <c r="B1315" s="541"/>
      <c r="C1315" s="19" t="s">
        <v>131</v>
      </c>
      <c r="D1315" s="41" t="s">
        <v>17</v>
      </c>
      <c r="E1315" s="19" t="s">
        <v>18</v>
      </c>
      <c r="F1315" s="19">
        <v>90</v>
      </c>
      <c r="G1315" s="19">
        <v>90</v>
      </c>
      <c r="H1315" s="24">
        <f>IF(G1315/F1315*100&gt;100,100,G1315/F1315*100)</f>
        <v>100</v>
      </c>
      <c r="I1315" s="19"/>
      <c r="J1315" s="19" t="s">
        <v>131</v>
      </c>
      <c r="K1315" s="41" t="s">
        <v>273</v>
      </c>
      <c r="L1315" s="19" t="s">
        <v>41</v>
      </c>
      <c r="M1315" s="19">
        <v>225</v>
      </c>
      <c r="N1315" s="19">
        <v>225</v>
      </c>
      <c r="O1315" s="24">
        <f>IF(N1315/M1315*100&gt;110,110,N1315/M1315*100)</f>
        <v>100</v>
      </c>
      <c r="P1315" s="468"/>
      <c r="Q1315" s="35"/>
      <c r="R1315" s="19"/>
      <c r="S1315" s="557"/>
      <c r="T1315" s="2"/>
    </row>
    <row r="1316" spans="1:20" s="1" customFormat="1" ht="59.25" customHeight="1" x14ac:dyDescent="0.35">
      <c r="A1316" s="605"/>
      <c r="B1316" s="541"/>
      <c r="C1316" s="465"/>
      <c r="D1316" s="466" t="s">
        <v>644</v>
      </c>
      <c r="E1316" s="465"/>
      <c r="F1316" s="20"/>
      <c r="G1316" s="20"/>
      <c r="H1316" s="18"/>
      <c r="I1316" s="18">
        <f>H1315</f>
        <v>100</v>
      </c>
      <c r="J1316" s="128"/>
      <c r="K1316" s="466" t="s">
        <v>644</v>
      </c>
      <c r="L1316" s="20"/>
      <c r="M1316" s="124"/>
      <c r="N1316" s="124"/>
      <c r="O1316" s="18"/>
      <c r="P1316" s="18">
        <f>O1315</f>
        <v>100</v>
      </c>
      <c r="Q1316" s="18">
        <f>(I1316+P1316)/2</f>
        <v>100</v>
      </c>
      <c r="R1316" s="465" t="s">
        <v>25</v>
      </c>
      <c r="S1316" s="557"/>
      <c r="T1316" s="2"/>
    </row>
    <row r="1317" spans="1:20" s="1" customFormat="1" ht="69.75" customHeight="1" x14ac:dyDescent="0.35">
      <c r="A1317" s="605"/>
      <c r="B1317" s="541"/>
      <c r="C1317" s="454" t="s">
        <v>140</v>
      </c>
      <c r="D1317" s="59" t="s">
        <v>130</v>
      </c>
      <c r="E1317" s="19"/>
      <c r="F1317" s="19"/>
      <c r="G1317" s="19"/>
      <c r="H1317" s="35"/>
      <c r="I1317" s="35"/>
      <c r="J1317" s="454" t="s">
        <v>140</v>
      </c>
      <c r="K1317" s="59" t="str">
        <f>D1317</f>
        <v>Реализация дополнительных общеразвивающих программ</v>
      </c>
      <c r="L1317" s="19"/>
      <c r="M1317" s="122"/>
      <c r="N1317" s="122"/>
      <c r="O1317" s="35"/>
      <c r="P1317" s="468"/>
      <c r="Q1317" s="35"/>
      <c r="R1317" s="19"/>
      <c r="S1317" s="557"/>
      <c r="T1317" s="2"/>
    </row>
    <row r="1318" spans="1:20" s="1" customFormat="1" ht="96.75" customHeight="1" x14ac:dyDescent="0.35">
      <c r="A1318" s="605"/>
      <c r="B1318" s="541"/>
      <c r="C1318" s="19" t="s">
        <v>142</v>
      </c>
      <c r="D1318" s="41" t="s">
        <v>128</v>
      </c>
      <c r="E1318" s="19" t="s">
        <v>18</v>
      </c>
      <c r="F1318" s="19">
        <v>90</v>
      </c>
      <c r="G1318" s="19">
        <v>90</v>
      </c>
      <c r="H1318" s="24">
        <f>IF(G1318/F1318*100&gt;100,100,G1318/F1318*100)</f>
        <v>100</v>
      </c>
      <c r="I1318" s="19"/>
      <c r="J1318" s="19" t="s">
        <v>142</v>
      </c>
      <c r="K1318" s="41" t="s">
        <v>136</v>
      </c>
      <c r="L1318" s="19" t="s">
        <v>139</v>
      </c>
      <c r="M1318" s="19">
        <v>50600</v>
      </c>
      <c r="N1318" s="19">
        <v>50600.2</v>
      </c>
      <c r="O1318" s="24">
        <f>IF(N1318/M1318*100&gt;110,110,N1318/M1318*100)</f>
        <v>100.000395256917</v>
      </c>
      <c r="P1318" s="468"/>
      <c r="Q1318" s="35"/>
      <c r="R1318" s="19"/>
      <c r="S1318" s="557"/>
      <c r="T1318" s="2"/>
    </row>
    <row r="1319" spans="1:20" s="1" customFormat="1" ht="48.75" customHeight="1" x14ac:dyDescent="0.35">
      <c r="A1319" s="605"/>
      <c r="B1319" s="541"/>
      <c r="C1319" s="465"/>
      <c r="D1319" s="466" t="s">
        <v>644</v>
      </c>
      <c r="E1319" s="465"/>
      <c r="F1319" s="20"/>
      <c r="G1319" s="20"/>
      <c r="H1319" s="18"/>
      <c r="I1319" s="18">
        <f>H1318</f>
        <v>100</v>
      </c>
      <c r="J1319" s="128"/>
      <c r="K1319" s="466" t="s">
        <v>644</v>
      </c>
      <c r="L1319" s="20"/>
      <c r="M1319" s="124"/>
      <c r="N1319" s="124"/>
      <c r="O1319" s="18"/>
      <c r="P1319" s="18">
        <f>O1318</f>
        <v>100.000395256917</v>
      </c>
      <c r="Q1319" s="18">
        <f>(I1319+P1319)/2</f>
        <v>100.00019762845849</v>
      </c>
      <c r="R1319" s="465" t="s">
        <v>25</v>
      </c>
      <c r="S1319" s="557"/>
      <c r="T1319" s="2"/>
    </row>
    <row r="1320" spans="1:20" s="1" customFormat="1" ht="94.5" customHeight="1" x14ac:dyDescent="0.35">
      <c r="A1320" s="605">
        <v>62</v>
      </c>
      <c r="B1320" s="541" t="s">
        <v>195</v>
      </c>
      <c r="C1320" s="454" t="s">
        <v>13</v>
      </c>
      <c r="D1320" s="59" t="s">
        <v>103</v>
      </c>
      <c r="E1320" s="454"/>
      <c r="F1320" s="454"/>
      <c r="G1320" s="454"/>
      <c r="H1320" s="35"/>
      <c r="I1320" s="35"/>
      <c r="J1320" s="454" t="s">
        <v>13</v>
      </c>
      <c r="K1320" s="59" t="s">
        <v>103</v>
      </c>
      <c r="L1320" s="19"/>
      <c r="M1320" s="19"/>
      <c r="N1320" s="19"/>
      <c r="O1320" s="35"/>
      <c r="P1320" s="468"/>
      <c r="Q1320" s="35"/>
      <c r="R1320" s="19"/>
      <c r="S1320" s="557" t="s">
        <v>104</v>
      </c>
      <c r="T1320" s="2"/>
    </row>
    <row r="1321" spans="1:20" s="1" customFormat="1" ht="73.5" customHeight="1" x14ac:dyDescent="0.35">
      <c r="A1321" s="605"/>
      <c r="B1321" s="541"/>
      <c r="C1321" s="19" t="s">
        <v>16</v>
      </c>
      <c r="D1321" s="41" t="s">
        <v>105</v>
      </c>
      <c r="E1321" s="19" t="s">
        <v>18</v>
      </c>
      <c r="F1321" s="19">
        <v>100</v>
      </c>
      <c r="G1321" s="19">
        <v>100</v>
      </c>
      <c r="H1321" s="24">
        <f>IF(G1321/F1321*100&gt;100,100,G1321/F1321*100)</f>
        <v>100</v>
      </c>
      <c r="I1321" s="19"/>
      <c r="J1321" s="19" t="s">
        <v>16</v>
      </c>
      <c r="K1321" s="41" t="s">
        <v>106</v>
      </c>
      <c r="L1321" s="19" t="s">
        <v>20</v>
      </c>
      <c r="M1321" s="19">
        <v>217</v>
      </c>
      <c r="N1321" s="19">
        <v>216</v>
      </c>
      <c r="O1321" s="24">
        <f>IF(N1321/M1321*100&gt;110,110,N1321/M1321*100)</f>
        <v>99.539170506912441</v>
      </c>
      <c r="P1321" s="468"/>
      <c r="Q1321" s="35"/>
      <c r="R1321" s="19"/>
      <c r="S1321" s="557"/>
      <c r="T1321" s="2"/>
    </row>
    <row r="1322" spans="1:20" s="1" customFormat="1" x14ac:dyDescent="0.35">
      <c r="A1322" s="605"/>
      <c r="B1322" s="541"/>
      <c r="C1322" s="19" t="s">
        <v>21</v>
      </c>
      <c r="D1322" s="41" t="s">
        <v>135</v>
      </c>
      <c r="E1322" s="19" t="s">
        <v>18</v>
      </c>
      <c r="F1322" s="19">
        <v>100</v>
      </c>
      <c r="G1322" s="19">
        <v>100</v>
      </c>
      <c r="H1322" s="24">
        <f>IF(G1322/F1322*100&gt;100,100,G1322/F1322*100)</f>
        <v>100</v>
      </c>
      <c r="I1322" s="19"/>
      <c r="J1322" s="19"/>
      <c r="K1322" s="455"/>
      <c r="L1322" s="19"/>
      <c r="M1322" s="476"/>
      <c r="N1322" s="476"/>
      <c r="O1322" s="24"/>
      <c r="P1322" s="468"/>
      <c r="Q1322" s="35"/>
      <c r="R1322" s="19"/>
      <c r="S1322" s="557"/>
      <c r="T1322" s="2"/>
    </row>
    <row r="1323" spans="1:20" s="1" customFormat="1" ht="45.75" customHeight="1" x14ac:dyDescent="0.35">
      <c r="A1323" s="605"/>
      <c r="B1323" s="541"/>
      <c r="C1323" s="19" t="s">
        <v>23</v>
      </c>
      <c r="D1323" s="41" t="s">
        <v>108</v>
      </c>
      <c r="E1323" s="19" t="s">
        <v>18</v>
      </c>
      <c r="F1323" s="19">
        <v>100</v>
      </c>
      <c r="G1323" s="19">
        <v>100</v>
      </c>
      <c r="H1323" s="24">
        <f>IF(G1323/F1323*100&gt;100,100,G1323/F1323*100)</f>
        <v>100</v>
      </c>
      <c r="I1323" s="19"/>
      <c r="J1323" s="129"/>
      <c r="K1323" s="41"/>
      <c r="L1323" s="19"/>
      <c r="M1323" s="122"/>
      <c r="N1323" s="122"/>
      <c r="O1323" s="24"/>
      <c r="P1323" s="468"/>
      <c r="Q1323" s="35"/>
      <c r="R1323" s="19"/>
      <c r="S1323" s="557"/>
      <c r="T1323" s="2"/>
    </row>
    <row r="1324" spans="1:20" s="1" customFormat="1" ht="82.5" customHeight="1" x14ac:dyDescent="0.35">
      <c r="A1324" s="605"/>
      <c r="B1324" s="541"/>
      <c r="C1324" s="19" t="s">
        <v>109</v>
      </c>
      <c r="D1324" s="41" t="s">
        <v>157</v>
      </c>
      <c r="E1324" s="19" t="s">
        <v>18</v>
      </c>
      <c r="F1324" s="19">
        <v>90</v>
      </c>
      <c r="G1324" s="19">
        <v>100</v>
      </c>
      <c r="H1324" s="24">
        <f>IF(G1324/F1324*100&gt;100,100,G1324/F1324*100)</f>
        <v>100</v>
      </c>
      <c r="I1324" s="19"/>
      <c r="J1324" s="129"/>
      <c r="K1324" s="41"/>
      <c r="L1324" s="19"/>
      <c r="M1324" s="122"/>
      <c r="N1324" s="122"/>
      <c r="O1324" s="24"/>
      <c r="P1324" s="468"/>
      <c r="Q1324" s="35"/>
      <c r="R1324" s="19"/>
      <c r="S1324" s="557"/>
      <c r="T1324" s="2"/>
    </row>
    <row r="1325" spans="1:20" s="1" customFormat="1" ht="128.25" customHeight="1" x14ac:dyDescent="0.35">
      <c r="A1325" s="605"/>
      <c r="B1325" s="541"/>
      <c r="C1325" s="19" t="s">
        <v>110</v>
      </c>
      <c r="D1325" s="41" t="s">
        <v>111</v>
      </c>
      <c r="E1325" s="19" t="s">
        <v>18</v>
      </c>
      <c r="F1325" s="19">
        <v>100</v>
      </c>
      <c r="G1325" s="19">
        <v>100</v>
      </c>
      <c r="H1325" s="24">
        <f>IF(G1325/F1325*100&gt;100,100,G1325/F1325*100)</f>
        <v>100</v>
      </c>
      <c r="I1325" s="19"/>
      <c r="J1325" s="129"/>
      <c r="K1325" s="41"/>
      <c r="L1325" s="19"/>
      <c r="M1325" s="122"/>
      <c r="N1325" s="122"/>
      <c r="O1325" s="24"/>
      <c r="P1325" s="468"/>
      <c r="Q1325" s="35"/>
      <c r="R1325" s="19"/>
      <c r="S1325" s="557"/>
      <c r="T1325" s="2"/>
    </row>
    <row r="1326" spans="1:20" s="1" customFormat="1" ht="40.5" customHeight="1" x14ac:dyDescent="0.35">
      <c r="A1326" s="605"/>
      <c r="B1326" s="541"/>
      <c r="C1326" s="465"/>
      <c r="D1326" s="466" t="s">
        <v>644</v>
      </c>
      <c r="E1326" s="465"/>
      <c r="F1326" s="20"/>
      <c r="G1326" s="20"/>
      <c r="H1326" s="18"/>
      <c r="I1326" s="18">
        <f>(H1321+H1322+H1323+H1324+H1325)/5</f>
        <v>100</v>
      </c>
      <c r="J1326" s="128"/>
      <c r="K1326" s="466" t="s">
        <v>644</v>
      </c>
      <c r="L1326" s="20"/>
      <c r="M1326" s="124"/>
      <c r="N1326" s="124"/>
      <c r="O1326" s="18"/>
      <c r="P1326" s="18">
        <f>O1321</f>
        <v>99.539170506912441</v>
      </c>
      <c r="Q1326" s="18">
        <f>(I1326+P1326)/2</f>
        <v>99.769585253456228</v>
      </c>
      <c r="R1326" s="465" t="s">
        <v>112</v>
      </c>
      <c r="S1326" s="557"/>
      <c r="T1326" s="2"/>
    </row>
    <row r="1327" spans="1:20" s="1" customFormat="1" ht="86.25" customHeight="1" x14ac:dyDescent="0.35">
      <c r="A1327" s="605"/>
      <c r="B1327" s="541"/>
      <c r="C1327" s="454" t="s">
        <v>26</v>
      </c>
      <c r="D1327" s="59" t="s">
        <v>113</v>
      </c>
      <c r="E1327" s="19"/>
      <c r="F1327" s="19"/>
      <c r="G1327" s="19"/>
      <c r="H1327" s="35"/>
      <c r="I1327" s="35"/>
      <c r="J1327" s="454" t="s">
        <v>26</v>
      </c>
      <c r="K1327" s="59" t="s">
        <v>113</v>
      </c>
      <c r="L1327" s="19"/>
      <c r="M1327" s="122"/>
      <c r="N1327" s="122"/>
      <c r="O1327" s="35"/>
      <c r="P1327" s="468"/>
      <c r="Q1327" s="35"/>
      <c r="R1327" s="19"/>
      <c r="S1327" s="557"/>
      <c r="T1327" s="2"/>
    </row>
    <row r="1328" spans="1:20" s="1" customFormat="1" ht="78" customHeight="1" x14ac:dyDescent="0.35">
      <c r="A1328" s="605"/>
      <c r="B1328" s="541"/>
      <c r="C1328" s="19" t="s">
        <v>28</v>
      </c>
      <c r="D1328" s="41" t="s">
        <v>114</v>
      </c>
      <c r="E1328" s="19" t="s">
        <v>18</v>
      </c>
      <c r="F1328" s="19">
        <v>100</v>
      </c>
      <c r="G1328" s="19">
        <v>100</v>
      </c>
      <c r="H1328" s="24">
        <f>IF(G1328/F1328*100&gt;100,100,G1328/F1328*100)</f>
        <v>100</v>
      </c>
      <c r="I1328" s="19"/>
      <c r="J1328" s="129" t="s">
        <v>28</v>
      </c>
      <c r="K1328" s="41" t="s">
        <v>106</v>
      </c>
      <c r="L1328" s="19" t="s">
        <v>20</v>
      </c>
      <c r="M1328" s="19">
        <v>304</v>
      </c>
      <c r="N1328" s="19">
        <v>305</v>
      </c>
      <c r="O1328" s="24">
        <f>IF(N1328/M1328*100&gt;110,110,N1328/M1328*100)</f>
        <v>100.32894736842107</v>
      </c>
      <c r="P1328" s="19"/>
      <c r="Q1328" s="35"/>
      <c r="R1328" s="19"/>
      <c r="S1328" s="557"/>
      <c r="T1328" s="2"/>
    </row>
    <row r="1329" spans="1:20" s="1" customFormat="1" x14ac:dyDescent="0.35">
      <c r="A1329" s="605"/>
      <c r="B1329" s="541"/>
      <c r="C1329" s="19" t="s">
        <v>30</v>
      </c>
      <c r="D1329" s="41" t="s">
        <v>115</v>
      </c>
      <c r="E1329" s="19" t="s">
        <v>18</v>
      </c>
      <c r="F1329" s="19">
        <v>100</v>
      </c>
      <c r="G1329" s="19">
        <v>100</v>
      </c>
      <c r="H1329" s="24">
        <f>IF(G1329/F1329*100&gt;100,100,G1329/F1329*100)</f>
        <v>100</v>
      </c>
      <c r="I1329" s="19"/>
      <c r="J1329" s="129"/>
      <c r="K1329" s="41"/>
      <c r="L1329" s="19"/>
      <c r="M1329" s="122"/>
      <c r="N1329" s="122"/>
      <c r="O1329" s="24"/>
      <c r="P1329" s="468"/>
      <c r="Q1329" s="35"/>
      <c r="R1329" s="19"/>
      <c r="S1329" s="557"/>
      <c r="T1329" s="2"/>
    </row>
    <row r="1330" spans="1:20" s="1" customFormat="1" ht="45" customHeight="1" x14ac:dyDescent="0.35">
      <c r="A1330" s="605"/>
      <c r="B1330" s="541"/>
      <c r="C1330" s="19" t="s">
        <v>34</v>
      </c>
      <c r="D1330" s="41" t="s">
        <v>108</v>
      </c>
      <c r="E1330" s="19" t="s">
        <v>18</v>
      </c>
      <c r="F1330" s="19">
        <v>100</v>
      </c>
      <c r="G1330" s="19">
        <v>100</v>
      </c>
      <c r="H1330" s="24">
        <f>IF(G1330/F1330*100&gt;100,100,G1330/F1330*100)</f>
        <v>100</v>
      </c>
      <c r="I1330" s="19"/>
      <c r="J1330" s="129"/>
      <c r="K1330" s="41"/>
      <c r="L1330" s="19"/>
      <c r="M1330" s="122"/>
      <c r="N1330" s="122"/>
      <c r="O1330" s="24"/>
      <c r="P1330" s="468"/>
      <c r="Q1330" s="35"/>
      <c r="R1330" s="19"/>
      <c r="S1330" s="557"/>
      <c r="T1330" s="2"/>
    </row>
    <row r="1331" spans="1:20" s="1" customFormat="1" ht="70.5" customHeight="1" x14ac:dyDescent="0.35">
      <c r="A1331" s="605"/>
      <c r="B1331" s="541"/>
      <c r="C1331" s="19" t="s">
        <v>78</v>
      </c>
      <c r="D1331" s="41" t="s">
        <v>157</v>
      </c>
      <c r="E1331" s="19" t="s">
        <v>18</v>
      </c>
      <c r="F1331" s="19">
        <v>90</v>
      </c>
      <c r="G1331" s="19">
        <v>100</v>
      </c>
      <c r="H1331" s="24">
        <f>IF(G1331/F1331*100&gt;100,100,G1331/F1331*100)</f>
        <v>100</v>
      </c>
      <c r="I1331" s="19"/>
      <c r="J1331" s="129"/>
      <c r="K1331" s="41"/>
      <c r="L1331" s="19"/>
      <c r="M1331" s="122"/>
      <c r="N1331" s="122"/>
      <c r="O1331" s="24"/>
      <c r="P1331" s="468"/>
      <c r="Q1331" s="35"/>
      <c r="R1331" s="19"/>
      <c r="S1331" s="557"/>
      <c r="T1331" s="2"/>
    </row>
    <row r="1332" spans="1:20" s="1" customFormat="1" ht="131.25" customHeight="1" x14ac:dyDescent="0.35">
      <c r="A1332" s="605"/>
      <c r="B1332" s="541"/>
      <c r="C1332" s="19" t="s">
        <v>79</v>
      </c>
      <c r="D1332" s="41" t="s">
        <v>111</v>
      </c>
      <c r="E1332" s="19" t="s">
        <v>18</v>
      </c>
      <c r="F1332" s="19">
        <v>100</v>
      </c>
      <c r="G1332" s="19">
        <v>100</v>
      </c>
      <c r="H1332" s="24">
        <f>IF(G1332/F1332*100&gt;100,100,G1332/F1332*100)</f>
        <v>100</v>
      </c>
      <c r="I1332" s="19"/>
      <c r="J1332" s="129"/>
      <c r="K1332" s="41"/>
      <c r="L1332" s="19"/>
      <c r="M1332" s="122"/>
      <c r="N1332" s="122"/>
      <c r="O1332" s="24"/>
      <c r="P1332" s="468"/>
      <c r="Q1332" s="35"/>
      <c r="R1332" s="19"/>
      <c r="S1332" s="557"/>
      <c r="T1332" s="2"/>
    </row>
    <row r="1333" spans="1:20" s="1" customFormat="1" ht="51.75" customHeight="1" x14ac:dyDescent="0.35">
      <c r="A1333" s="605"/>
      <c r="B1333" s="541"/>
      <c r="C1333" s="465"/>
      <c r="D1333" s="466" t="s">
        <v>644</v>
      </c>
      <c r="E1333" s="465"/>
      <c r="F1333" s="20"/>
      <c r="G1333" s="20"/>
      <c r="H1333" s="18"/>
      <c r="I1333" s="18">
        <f>(H1328+H1329+H1330+H1331+H1332)/5</f>
        <v>100</v>
      </c>
      <c r="J1333" s="128"/>
      <c r="K1333" s="466" t="s">
        <v>644</v>
      </c>
      <c r="L1333" s="20"/>
      <c r="M1333" s="124"/>
      <c r="N1333" s="124"/>
      <c r="O1333" s="18"/>
      <c r="P1333" s="18">
        <f>O1328</f>
        <v>100.32894736842107</v>
      </c>
      <c r="Q1333" s="18">
        <f>(I1333+P1333)/2</f>
        <v>100.16447368421053</v>
      </c>
      <c r="R1333" s="465" t="s">
        <v>25</v>
      </c>
      <c r="S1333" s="557"/>
      <c r="T1333" s="2"/>
    </row>
    <row r="1334" spans="1:20" s="1" customFormat="1" ht="93.75" customHeight="1" x14ac:dyDescent="0.35">
      <c r="A1334" s="605"/>
      <c r="B1334" s="541"/>
      <c r="C1334" s="454" t="s">
        <v>36</v>
      </c>
      <c r="D1334" s="59" t="s">
        <v>116</v>
      </c>
      <c r="E1334" s="19"/>
      <c r="F1334" s="19"/>
      <c r="G1334" s="19"/>
      <c r="H1334" s="35"/>
      <c r="I1334" s="35"/>
      <c r="J1334" s="454" t="s">
        <v>36</v>
      </c>
      <c r="K1334" s="59" t="str">
        <f>D1334</f>
        <v>Реализация основных общеобразовательных программ среднего общего образования</v>
      </c>
      <c r="L1334" s="19"/>
      <c r="M1334" s="122"/>
      <c r="N1334" s="122"/>
      <c r="O1334" s="35"/>
      <c r="P1334" s="468"/>
      <c r="Q1334" s="35"/>
      <c r="R1334" s="19"/>
      <c r="S1334" s="557"/>
      <c r="T1334" s="2"/>
    </row>
    <row r="1335" spans="1:20" s="1" customFormat="1" ht="84.75" customHeight="1" x14ac:dyDescent="0.35">
      <c r="A1335" s="605"/>
      <c r="B1335" s="541"/>
      <c r="C1335" s="19" t="s">
        <v>38</v>
      </c>
      <c r="D1335" s="41" t="s">
        <v>117</v>
      </c>
      <c r="E1335" s="19" t="s">
        <v>18</v>
      </c>
      <c r="F1335" s="19">
        <v>100</v>
      </c>
      <c r="G1335" s="19">
        <v>100</v>
      </c>
      <c r="H1335" s="24">
        <f>IF(G1335/F1335*100&gt;100,100,G1335/F1335*100)</f>
        <v>100</v>
      </c>
      <c r="I1335" s="19"/>
      <c r="J1335" s="129" t="s">
        <v>38</v>
      </c>
      <c r="K1335" s="41" t="s">
        <v>106</v>
      </c>
      <c r="L1335" s="19" t="s">
        <v>20</v>
      </c>
      <c r="M1335" s="19">
        <v>62</v>
      </c>
      <c r="N1335" s="19">
        <v>58</v>
      </c>
      <c r="O1335" s="24">
        <f>IF(N1335/M1335*100&gt;110,110,N1335/M1335*100)</f>
        <v>93.548387096774192</v>
      </c>
      <c r="P1335" s="19"/>
      <c r="Q1335" s="35"/>
      <c r="R1335" s="19"/>
      <c r="S1335" s="557"/>
      <c r="T1335" s="2"/>
    </row>
    <row r="1336" spans="1:20" s="1" customFormat="1" ht="29.25" customHeight="1" x14ac:dyDescent="0.35">
      <c r="A1336" s="605"/>
      <c r="B1336" s="541"/>
      <c r="C1336" s="19" t="s">
        <v>118</v>
      </c>
      <c r="D1336" s="41" t="s">
        <v>119</v>
      </c>
      <c r="E1336" s="19" t="s">
        <v>18</v>
      </c>
      <c r="F1336" s="19">
        <v>100</v>
      </c>
      <c r="G1336" s="19">
        <v>100</v>
      </c>
      <c r="H1336" s="24">
        <f>IF(G1336/F1336*100&gt;100,100,G1336/F1336*100)</f>
        <v>100</v>
      </c>
      <c r="I1336" s="19"/>
      <c r="J1336" s="129"/>
      <c r="K1336" s="41"/>
      <c r="L1336" s="19"/>
      <c r="M1336" s="122"/>
      <c r="N1336" s="122"/>
      <c r="O1336" s="24"/>
      <c r="P1336" s="468"/>
      <c r="Q1336" s="35"/>
      <c r="R1336" s="19"/>
      <c r="S1336" s="557"/>
      <c r="T1336" s="2"/>
    </row>
    <row r="1337" spans="1:20" s="1" customFormat="1" ht="51" customHeight="1" x14ac:dyDescent="0.35">
      <c r="A1337" s="605"/>
      <c r="B1337" s="541"/>
      <c r="C1337" s="19" t="s">
        <v>120</v>
      </c>
      <c r="D1337" s="41" t="s">
        <v>108</v>
      </c>
      <c r="E1337" s="19" t="s">
        <v>18</v>
      </c>
      <c r="F1337" s="19">
        <v>100</v>
      </c>
      <c r="G1337" s="19">
        <v>100</v>
      </c>
      <c r="H1337" s="24">
        <f>IF(G1337/F1337*100&gt;100,100,G1337/F1337*100)</f>
        <v>100</v>
      </c>
      <c r="I1337" s="19"/>
      <c r="J1337" s="129"/>
      <c r="K1337" s="41"/>
      <c r="L1337" s="19"/>
      <c r="M1337" s="122"/>
      <c r="N1337" s="122"/>
      <c r="O1337" s="24"/>
      <c r="P1337" s="468"/>
      <c r="Q1337" s="35"/>
      <c r="R1337" s="19"/>
      <c r="S1337" s="557"/>
      <c r="T1337" s="2"/>
    </row>
    <row r="1338" spans="1:20" s="1" customFormat="1" ht="63.75" customHeight="1" x14ac:dyDescent="0.35">
      <c r="A1338" s="605"/>
      <c r="B1338" s="541"/>
      <c r="C1338" s="19" t="s">
        <v>121</v>
      </c>
      <c r="D1338" s="41" t="s">
        <v>157</v>
      </c>
      <c r="E1338" s="19" t="s">
        <v>18</v>
      </c>
      <c r="F1338" s="19">
        <v>90</v>
      </c>
      <c r="G1338" s="19">
        <v>100</v>
      </c>
      <c r="H1338" s="24">
        <f>IF(G1338/F1338*100&gt;100,100,G1338/F1338*100)</f>
        <v>100</v>
      </c>
      <c r="I1338" s="19"/>
      <c r="J1338" s="129"/>
      <c r="K1338" s="41"/>
      <c r="L1338" s="19"/>
      <c r="M1338" s="122"/>
      <c r="N1338" s="122"/>
      <c r="O1338" s="24"/>
      <c r="P1338" s="468"/>
      <c r="Q1338" s="35"/>
      <c r="R1338" s="19"/>
      <c r="S1338" s="557"/>
      <c r="T1338" s="2"/>
    </row>
    <row r="1339" spans="1:20" s="1" customFormat="1" ht="125.25" customHeight="1" x14ac:dyDescent="0.35">
      <c r="A1339" s="605"/>
      <c r="B1339" s="541"/>
      <c r="C1339" s="19" t="s">
        <v>122</v>
      </c>
      <c r="D1339" s="41" t="s">
        <v>111</v>
      </c>
      <c r="E1339" s="19" t="s">
        <v>18</v>
      </c>
      <c r="F1339" s="19">
        <v>100</v>
      </c>
      <c r="G1339" s="19">
        <v>100</v>
      </c>
      <c r="H1339" s="24">
        <f>IF(G1339/F1339*100&gt;100,100,G1339/F1339*100)</f>
        <v>100</v>
      </c>
      <c r="I1339" s="19"/>
      <c r="J1339" s="129"/>
      <c r="K1339" s="41"/>
      <c r="L1339" s="19"/>
      <c r="M1339" s="122"/>
      <c r="N1339" s="122"/>
      <c r="O1339" s="24"/>
      <c r="P1339" s="468"/>
      <c r="Q1339" s="35"/>
      <c r="R1339" s="19"/>
      <c r="S1339" s="557"/>
      <c r="T1339" s="2"/>
    </row>
    <row r="1340" spans="1:20" s="1" customFormat="1" ht="40.5" customHeight="1" x14ac:dyDescent="0.35">
      <c r="A1340" s="605"/>
      <c r="B1340" s="541"/>
      <c r="C1340" s="465"/>
      <c r="D1340" s="466" t="s">
        <v>644</v>
      </c>
      <c r="E1340" s="465"/>
      <c r="F1340" s="20"/>
      <c r="G1340" s="20"/>
      <c r="H1340" s="18"/>
      <c r="I1340" s="18">
        <f>(H1335+H1336+H1337+H1338+H1339)/5</f>
        <v>100</v>
      </c>
      <c r="J1340" s="128"/>
      <c r="K1340" s="466" t="s">
        <v>644</v>
      </c>
      <c r="L1340" s="20"/>
      <c r="M1340" s="124"/>
      <c r="N1340" s="124"/>
      <c r="O1340" s="18"/>
      <c r="P1340" s="18">
        <f>O1335</f>
        <v>93.548387096774192</v>
      </c>
      <c r="Q1340" s="18">
        <f>(I1340+P1340)/2</f>
        <v>96.774193548387103</v>
      </c>
      <c r="R1340" s="465" t="s">
        <v>112</v>
      </c>
      <c r="S1340" s="557"/>
      <c r="T1340" s="2"/>
    </row>
    <row r="1341" spans="1:20" s="1" customFormat="1" x14ac:dyDescent="0.35">
      <c r="A1341" s="605"/>
      <c r="B1341" s="541"/>
      <c r="C1341" s="454" t="s">
        <v>123</v>
      </c>
      <c r="D1341" s="59" t="s">
        <v>27</v>
      </c>
      <c r="E1341" s="19"/>
      <c r="F1341" s="19"/>
      <c r="G1341" s="19"/>
      <c r="H1341" s="35"/>
      <c r="I1341" s="35"/>
      <c r="J1341" s="454" t="s">
        <v>123</v>
      </c>
      <c r="K1341" s="59" t="s">
        <v>27</v>
      </c>
      <c r="L1341" s="19"/>
      <c r="M1341" s="122"/>
      <c r="N1341" s="122"/>
      <c r="O1341" s="35"/>
      <c r="P1341" s="468"/>
      <c r="Q1341" s="35"/>
      <c r="R1341" s="19"/>
      <c r="S1341" s="557"/>
      <c r="T1341" s="2"/>
    </row>
    <row r="1342" spans="1:20" s="1" customFormat="1" ht="53.25" customHeight="1" x14ac:dyDescent="0.35">
      <c r="A1342" s="605"/>
      <c r="B1342" s="541"/>
      <c r="C1342" s="19" t="s">
        <v>124</v>
      </c>
      <c r="D1342" s="41" t="s">
        <v>125</v>
      </c>
      <c r="E1342" s="19" t="s">
        <v>18</v>
      </c>
      <c r="F1342" s="19">
        <v>100</v>
      </c>
      <c r="G1342" s="19">
        <v>100</v>
      </c>
      <c r="H1342" s="24">
        <f>IF(G1342/F1342*100&gt;100,100,G1342/F1342*100)</f>
        <v>100</v>
      </c>
      <c r="I1342" s="19"/>
      <c r="J1342" s="129" t="s">
        <v>124</v>
      </c>
      <c r="K1342" s="41" t="s">
        <v>106</v>
      </c>
      <c r="L1342" s="19" t="s">
        <v>20</v>
      </c>
      <c r="M1342" s="19">
        <v>100</v>
      </c>
      <c r="N1342" s="19">
        <v>100</v>
      </c>
      <c r="O1342" s="24">
        <f>IF(N1342/M1342*100&gt;110,110,N1342/M1342*100)</f>
        <v>100</v>
      </c>
      <c r="P1342" s="468"/>
      <c r="Q1342" s="35"/>
      <c r="R1342" s="19"/>
      <c r="S1342" s="557"/>
      <c r="T1342" s="2"/>
    </row>
    <row r="1343" spans="1:20" s="1" customFormat="1" ht="88.5" customHeight="1" x14ac:dyDescent="0.35">
      <c r="A1343" s="605"/>
      <c r="B1343" s="541"/>
      <c r="C1343" s="19" t="s">
        <v>127</v>
      </c>
      <c r="D1343" s="41" t="s">
        <v>128</v>
      </c>
      <c r="E1343" s="19" t="s">
        <v>18</v>
      </c>
      <c r="F1343" s="19">
        <v>90</v>
      </c>
      <c r="G1343" s="19">
        <v>90</v>
      </c>
      <c r="H1343" s="24">
        <f>IF(G1343/F1343*100&gt;100,100,G1343/F1343*100)</f>
        <v>100</v>
      </c>
      <c r="I1343" s="19"/>
      <c r="J1343" s="129"/>
      <c r="K1343" s="41"/>
      <c r="L1343" s="19"/>
      <c r="M1343" s="122"/>
      <c r="N1343" s="122"/>
      <c r="O1343" s="24"/>
      <c r="P1343" s="468"/>
      <c r="Q1343" s="35"/>
      <c r="R1343" s="19"/>
      <c r="S1343" s="557"/>
      <c r="T1343" s="2"/>
    </row>
    <row r="1344" spans="1:20" s="1" customFormat="1" ht="40.5" customHeight="1" x14ac:dyDescent="0.35">
      <c r="A1344" s="605"/>
      <c r="B1344" s="541"/>
      <c r="C1344" s="465"/>
      <c r="D1344" s="466" t="s">
        <v>644</v>
      </c>
      <c r="E1344" s="465"/>
      <c r="F1344" s="20"/>
      <c r="G1344" s="20"/>
      <c r="H1344" s="18"/>
      <c r="I1344" s="18">
        <f>(H1342+H1343)/2</f>
        <v>100</v>
      </c>
      <c r="J1344" s="128"/>
      <c r="K1344" s="466" t="s">
        <v>644</v>
      </c>
      <c r="L1344" s="20"/>
      <c r="M1344" s="124"/>
      <c r="N1344" s="124"/>
      <c r="O1344" s="18"/>
      <c r="P1344" s="18">
        <f>O1342</f>
        <v>100</v>
      </c>
      <c r="Q1344" s="18">
        <f>(I1344+P1344)/2</f>
        <v>100</v>
      </c>
      <c r="R1344" s="465" t="s">
        <v>25</v>
      </c>
      <c r="S1344" s="557"/>
      <c r="T1344" s="2"/>
    </row>
    <row r="1345" spans="1:20" s="1" customFormat="1" ht="65.25" customHeight="1" x14ac:dyDescent="0.35">
      <c r="A1345" s="605"/>
      <c r="B1345" s="541"/>
      <c r="C1345" s="454" t="s">
        <v>129</v>
      </c>
      <c r="D1345" s="59" t="s">
        <v>130</v>
      </c>
      <c r="E1345" s="19"/>
      <c r="F1345" s="19"/>
      <c r="G1345" s="19"/>
      <c r="H1345" s="35"/>
      <c r="I1345" s="35"/>
      <c r="J1345" s="454" t="s">
        <v>129</v>
      </c>
      <c r="K1345" s="59" t="str">
        <f>D1345</f>
        <v>Реализация дополнительных общеразвивающих программ</v>
      </c>
      <c r="L1345" s="19"/>
      <c r="M1345" s="122"/>
      <c r="N1345" s="122"/>
      <c r="O1345" s="35"/>
      <c r="P1345" s="468"/>
      <c r="Q1345" s="35"/>
      <c r="R1345" s="19"/>
      <c r="S1345" s="557"/>
      <c r="T1345" s="2"/>
    </row>
    <row r="1346" spans="1:20" s="1" customFormat="1" ht="93.75" customHeight="1" x14ac:dyDescent="0.35">
      <c r="A1346" s="605"/>
      <c r="B1346" s="541"/>
      <c r="C1346" s="19" t="s">
        <v>131</v>
      </c>
      <c r="D1346" s="41" t="s">
        <v>128</v>
      </c>
      <c r="E1346" s="19" t="s">
        <v>18</v>
      </c>
      <c r="F1346" s="19">
        <v>90</v>
      </c>
      <c r="G1346" s="19">
        <v>90</v>
      </c>
      <c r="H1346" s="24">
        <f>IF(G1346/F1346*100&gt;100,100,G1346/F1346*100)</f>
        <v>100</v>
      </c>
      <c r="I1346" s="19"/>
      <c r="J1346" s="129" t="s">
        <v>124</v>
      </c>
      <c r="K1346" s="41" t="s">
        <v>136</v>
      </c>
      <c r="L1346" s="19" t="s">
        <v>139</v>
      </c>
      <c r="M1346" s="19">
        <v>46120</v>
      </c>
      <c r="N1346" s="19">
        <v>46120</v>
      </c>
      <c r="O1346" s="24">
        <f>IF(N1346/M1346*100&gt;110,110,N1346/M1346*100)</f>
        <v>100</v>
      </c>
      <c r="P1346" s="468"/>
      <c r="Q1346" s="35"/>
      <c r="R1346" s="19"/>
      <c r="S1346" s="557"/>
      <c r="T1346" s="2"/>
    </row>
    <row r="1347" spans="1:20" s="1" customFormat="1" ht="41.25" customHeight="1" x14ac:dyDescent="0.35">
      <c r="A1347" s="605"/>
      <c r="B1347" s="541"/>
      <c r="C1347" s="465"/>
      <c r="D1347" s="466" t="s">
        <v>644</v>
      </c>
      <c r="E1347" s="465"/>
      <c r="F1347" s="20"/>
      <c r="G1347" s="20"/>
      <c r="H1347" s="18"/>
      <c r="I1347" s="18">
        <f>H1346</f>
        <v>100</v>
      </c>
      <c r="J1347" s="128"/>
      <c r="K1347" s="466" t="s">
        <v>644</v>
      </c>
      <c r="L1347" s="20"/>
      <c r="M1347" s="124"/>
      <c r="N1347" s="124"/>
      <c r="O1347" s="18"/>
      <c r="P1347" s="18">
        <f>O1346</f>
        <v>100</v>
      </c>
      <c r="Q1347" s="18">
        <f>(I1347+P1347)/2</f>
        <v>100</v>
      </c>
      <c r="R1347" s="465" t="s">
        <v>25</v>
      </c>
      <c r="S1347" s="557"/>
      <c r="T1347" s="2"/>
    </row>
    <row r="1348" spans="1:20" s="1" customFormat="1" ht="76.5" customHeight="1" x14ac:dyDescent="0.35">
      <c r="A1348" s="605">
        <v>63</v>
      </c>
      <c r="B1348" s="541" t="s">
        <v>196</v>
      </c>
      <c r="C1348" s="454" t="s">
        <v>13</v>
      </c>
      <c r="D1348" s="59" t="s">
        <v>103</v>
      </c>
      <c r="E1348" s="454"/>
      <c r="F1348" s="454"/>
      <c r="G1348" s="454"/>
      <c r="H1348" s="35"/>
      <c r="I1348" s="35"/>
      <c r="J1348" s="454" t="s">
        <v>13</v>
      </c>
      <c r="K1348" s="59" t="s">
        <v>103</v>
      </c>
      <c r="L1348" s="19"/>
      <c r="M1348" s="19"/>
      <c r="N1348" s="19"/>
      <c r="O1348" s="35"/>
      <c r="P1348" s="468"/>
      <c r="Q1348" s="35"/>
      <c r="R1348" s="19"/>
      <c r="S1348" s="557" t="s">
        <v>48</v>
      </c>
      <c r="T1348" s="2"/>
    </row>
    <row r="1349" spans="1:20" s="1" customFormat="1" ht="65.25" customHeight="1" x14ac:dyDescent="0.35">
      <c r="A1349" s="605"/>
      <c r="B1349" s="541"/>
      <c r="C1349" s="19" t="s">
        <v>16</v>
      </c>
      <c r="D1349" s="41" t="s">
        <v>105</v>
      </c>
      <c r="E1349" s="19" t="s">
        <v>18</v>
      </c>
      <c r="F1349" s="19">
        <v>100</v>
      </c>
      <c r="G1349" s="19">
        <v>100</v>
      </c>
      <c r="H1349" s="24">
        <f>IF(G1349/F1349*100&gt;100,100,G1349/F1349*100)</f>
        <v>100</v>
      </c>
      <c r="I1349" s="19"/>
      <c r="J1349" s="19" t="s">
        <v>16</v>
      </c>
      <c r="K1349" s="41" t="s">
        <v>106</v>
      </c>
      <c r="L1349" s="19" t="s">
        <v>20</v>
      </c>
      <c r="M1349" s="19">
        <v>192</v>
      </c>
      <c r="N1349" s="19">
        <v>203</v>
      </c>
      <c r="O1349" s="24">
        <f>IF(N1349/M1349*100&gt;110,110,N1349/M1349*100)</f>
        <v>105.72916666666667</v>
      </c>
      <c r="P1349" s="468"/>
      <c r="Q1349" s="35"/>
      <c r="R1349" s="19"/>
      <c r="S1349" s="557"/>
      <c r="T1349" s="2"/>
    </row>
    <row r="1350" spans="1:20" s="1" customFormat="1" x14ac:dyDescent="0.35">
      <c r="A1350" s="605"/>
      <c r="B1350" s="541"/>
      <c r="C1350" s="19" t="s">
        <v>21</v>
      </c>
      <c r="D1350" s="41" t="s">
        <v>135</v>
      </c>
      <c r="E1350" s="19" t="s">
        <v>18</v>
      </c>
      <c r="F1350" s="19">
        <v>100</v>
      </c>
      <c r="G1350" s="19">
        <v>100</v>
      </c>
      <c r="H1350" s="24">
        <f>IF(G1350/F1350*100&gt;100,100,G1350/F1350*100)</f>
        <v>100</v>
      </c>
      <c r="I1350" s="19"/>
      <c r="J1350" s="19"/>
      <c r="K1350" s="455"/>
      <c r="L1350" s="19"/>
      <c r="M1350" s="476"/>
      <c r="N1350" s="476"/>
      <c r="O1350" s="24"/>
      <c r="P1350" s="468"/>
      <c r="Q1350" s="35"/>
      <c r="R1350" s="19"/>
      <c r="S1350" s="557"/>
      <c r="T1350" s="2"/>
    </row>
    <row r="1351" spans="1:20" s="1" customFormat="1" ht="40.5" customHeight="1" x14ac:dyDescent="0.35">
      <c r="A1351" s="605"/>
      <c r="B1351" s="541"/>
      <c r="C1351" s="19" t="s">
        <v>23</v>
      </c>
      <c r="D1351" s="41" t="s">
        <v>108</v>
      </c>
      <c r="E1351" s="19" t="s">
        <v>18</v>
      </c>
      <c r="F1351" s="19">
        <v>100</v>
      </c>
      <c r="G1351" s="19">
        <v>100</v>
      </c>
      <c r="H1351" s="24">
        <f>IF(G1351/F1351*100&gt;100,100,G1351/F1351*100)</f>
        <v>100</v>
      </c>
      <c r="I1351" s="19"/>
      <c r="J1351" s="129"/>
      <c r="K1351" s="41"/>
      <c r="L1351" s="19"/>
      <c r="M1351" s="122"/>
      <c r="N1351" s="122"/>
      <c r="O1351" s="24"/>
      <c r="P1351" s="468"/>
      <c r="Q1351" s="35"/>
      <c r="R1351" s="19"/>
      <c r="S1351" s="557"/>
      <c r="T1351" s="2"/>
    </row>
    <row r="1352" spans="1:20" s="1" customFormat="1" ht="59.25" customHeight="1" x14ac:dyDescent="0.35">
      <c r="A1352" s="605"/>
      <c r="B1352" s="541"/>
      <c r="C1352" s="19" t="s">
        <v>109</v>
      </c>
      <c r="D1352" s="41" t="s">
        <v>157</v>
      </c>
      <c r="E1352" s="19" t="s">
        <v>18</v>
      </c>
      <c r="F1352" s="19">
        <v>90</v>
      </c>
      <c r="G1352" s="19">
        <v>100</v>
      </c>
      <c r="H1352" s="24">
        <f>IF(G1352/F1352*100&gt;100,100,G1352/F1352*100)</f>
        <v>100</v>
      </c>
      <c r="I1352" s="19"/>
      <c r="J1352" s="129"/>
      <c r="K1352" s="41"/>
      <c r="L1352" s="19"/>
      <c r="M1352" s="122"/>
      <c r="N1352" s="122"/>
      <c r="O1352" s="24"/>
      <c r="P1352" s="468"/>
      <c r="Q1352" s="35"/>
      <c r="R1352" s="19"/>
      <c r="S1352" s="557"/>
      <c r="T1352" s="2"/>
    </row>
    <row r="1353" spans="1:20" s="1" customFormat="1" ht="113.25" customHeight="1" x14ac:dyDescent="0.35">
      <c r="A1353" s="605"/>
      <c r="B1353" s="541"/>
      <c r="C1353" s="19" t="s">
        <v>110</v>
      </c>
      <c r="D1353" s="41" t="s">
        <v>111</v>
      </c>
      <c r="E1353" s="19" t="s">
        <v>18</v>
      </c>
      <c r="F1353" s="19">
        <v>100</v>
      </c>
      <c r="G1353" s="19">
        <v>100</v>
      </c>
      <c r="H1353" s="24">
        <f>IF(G1353/F1353*100&gt;100,100,G1353/F1353*100)</f>
        <v>100</v>
      </c>
      <c r="I1353" s="19"/>
      <c r="J1353" s="129"/>
      <c r="K1353" s="41"/>
      <c r="L1353" s="19"/>
      <c r="M1353" s="122"/>
      <c r="N1353" s="122"/>
      <c r="O1353" s="24"/>
      <c r="P1353" s="468"/>
      <c r="Q1353" s="35"/>
      <c r="R1353" s="19"/>
      <c r="S1353" s="557"/>
      <c r="T1353" s="2"/>
    </row>
    <row r="1354" spans="1:20" s="1" customFormat="1" ht="40.5" customHeight="1" x14ac:dyDescent="0.35">
      <c r="A1354" s="605"/>
      <c r="B1354" s="541"/>
      <c r="C1354" s="465"/>
      <c r="D1354" s="466" t="s">
        <v>644</v>
      </c>
      <c r="E1354" s="465"/>
      <c r="F1354" s="20"/>
      <c r="G1354" s="20"/>
      <c r="H1354" s="18"/>
      <c r="I1354" s="18">
        <f>(H1349+H1350+H1351+H1352+H1353)/5</f>
        <v>100</v>
      </c>
      <c r="J1354" s="128"/>
      <c r="K1354" s="466" t="s">
        <v>644</v>
      </c>
      <c r="L1354" s="20"/>
      <c r="M1354" s="124"/>
      <c r="N1354" s="124"/>
      <c r="O1354" s="18"/>
      <c r="P1354" s="18">
        <f>O1349</f>
        <v>105.72916666666667</v>
      </c>
      <c r="Q1354" s="18">
        <f>(I1354+P1354)/2</f>
        <v>102.86458333333334</v>
      </c>
      <c r="R1354" s="465" t="s">
        <v>25</v>
      </c>
      <c r="S1354" s="557"/>
      <c r="T1354" s="2"/>
    </row>
    <row r="1355" spans="1:20" s="1" customFormat="1" ht="72.75" customHeight="1" x14ac:dyDescent="0.35">
      <c r="A1355" s="605"/>
      <c r="B1355" s="541"/>
      <c r="C1355" s="454" t="s">
        <v>26</v>
      </c>
      <c r="D1355" s="59" t="s">
        <v>113</v>
      </c>
      <c r="E1355" s="19"/>
      <c r="F1355" s="19"/>
      <c r="G1355" s="19"/>
      <c r="H1355" s="35"/>
      <c r="I1355" s="35"/>
      <c r="J1355" s="454" t="s">
        <v>26</v>
      </c>
      <c r="K1355" s="59" t="s">
        <v>113</v>
      </c>
      <c r="L1355" s="19"/>
      <c r="M1355" s="122"/>
      <c r="N1355" s="122"/>
      <c r="O1355" s="35"/>
      <c r="P1355" s="468"/>
      <c r="Q1355" s="35"/>
      <c r="R1355" s="19"/>
      <c r="S1355" s="557"/>
      <c r="T1355" s="2"/>
    </row>
    <row r="1356" spans="1:20" s="1" customFormat="1" ht="74.25" customHeight="1" x14ac:dyDescent="0.35">
      <c r="A1356" s="605"/>
      <c r="B1356" s="541"/>
      <c r="C1356" s="19" t="s">
        <v>28</v>
      </c>
      <c r="D1356" s="41" t="s">
        <v>114</v>
      </c>
      <c r="E1356" s="19" t="s">
        <v>18</v>
      </c>
      <c r="F1356" s="19">
        <v>100</v>
      </c>
      <c r="G1356" s="19">
        <v>100</v>
      </c>
      <c r="H1356" s="24">
        <f>IF(G1356/F1356*100&gt;100,100,G1356/F1356*100)</f>
        <v>100</v>
      </c>
      <c r="I1356" s="19"/>
      <c r="J1356" s="129" t="s">
        <v>28</v>
      </c>
      <c r="K1356" s="41" t="s">
        <v>106</v>
      </c>
      <c r="L1356" s="19" t="s">
        <v>20</v>
      </c>
      <c r="M1356" s="19">
        <v>318</v>
      </c>
      <c r="N1356" s="19">
        <v>322</v>
      </c>
      <c r="O1356" s="24">
        <f>IF(N1356/M1356*100&gt;110,110,N1356/M1356*100)</f>
        <v>101.25786163522012</v>
      </c>
      <c r="P1356" s="19"/>
      <c r="Q1356" s="35"/>
      <c r="R1356" s="19"/>
      <c r="S1356" s="557"/>
      <c r="T1356" s="2"/>
    </row>
    <row r="1357" spans="1:20" s="1" customFormat="1" ht="36.75" customHeight="1" x14ac:dyDescent="0.35">
      <c r="A1357" s="605"/>
      <c r="B1357" s="541"/>
      <c r="C1357" s="19" t="s">
        <v>30</v>
      </c>
      <c r="D1357" s="41" t="s">
        <v>115</v>
      </c>
      <c r="E1357" s="19" t="s">
        <v>18</v>
      </c>
      <c r="F1357" s="19">
        <v>100</v>
      </c>
      <c r="G1357" s="19">
        <v>100</v>
      </c>
      <c r="H1357" s="24">
        <f>IF(G1357/F1357*100&gt;100,100,G1357/F1357*100)</f>
        <v>100</v>
      </c>
      <c r="I1357" s="19"/>
      <c r="J1357" s="129"/>
      <c r="K1357" s="41"/>
      <c r="L1357" s="19"/>
      <c r="M1357" s="122"/>
      <c r="N1357" s="122"/>
      <c r="O1357" s="24"/>
      <c r="P1357" s="468"/>
      <c r="Q1357" s="35"/>
      <c r="R1357" s="19"/>
      <c r="S1357" s="557"/>
      <c r="T1357" s="2"/>
    </row>
    <row r="1358" spans="1:20" s="1" customFormat="1" ht="56.25" customHeight="1" x14ac:dyDescent="0.35">
      <c r="A1358" s="605"/>
      <c r="B1358" s="541"/>
      <c r="C1358" s="19" t="s">
        <v>34</v>
      </c>
      <c r="D1358" s="41" t="s">
        <v>108</v>
      </c>
      <c r="E1358" s="19" t="s">
        <v>18</v>
      </c>
      <c r="F1358" s="19">
        <v>100</v>
      </c>
      <c r="G1358" s="19">
        <v>100</v>
      </c>
      <c r="H1358" s="24">
        <f>IF(G1358/F1358*100&gt;100,100,G1358/F1358*100)</f>
        <v>100</v>
      </c>
      <c r="I1358" s="19"/>
      <c r="J1358" s="129"/>
      <c r="K1358" s="41"/>
      <c r="L1358" s="19"/>
      <c r="M1358" s="122"/>
      <c r="N1358" s="122"/>
      <c r="O1358" s="24"/>
      <c r="P1358" s="468"/>
      <c r="Q1358" s="35"/>
      <c r="R1358" s="19"/>
      <c r="S1358" s="557"/>
      <c r="T1358" s="2"/>
    </row>
    <row r="1359" spans="1:20" s="1" customFormat="1" ht="75" customHeight="1" x14ac:dyDescent="0.35">
      <c r="A1359" s="605"/>
      <c r="B1359" s="541"/>
      <c r="C1359" s="19" t="s">
        <v>78</v>
      </c>
      <c r="D1359" s="41" t="s">
        <v>157</v>
      </c>
      <c r="E1359" s="19" t="s">
        <v>18</v>
      </c>
      <c r="F1359" s="19">
        <v>90</v>
      </c>
      <c r="G1359" s="19">
        <v>100</v>
      </c>
      <c r="H1359" s="24">
        <f>IF(G1359/F1359*100&gt;100,100,G1359/F1359*100)</f>
        <v>100</v>
      </c>
      <c r="I1359" s="19"/>
      <c r="J1359" s="129"/>
      <c r="K1359" s="41"/>
      <c r="L1359" s="19"/>
      <c r="M1359" s="122"/>
      <c r="N1359" s="122"/>
      <c r="O1359" s="24"/>
      <c r="P1359" s="468"/>
      <c r="Q1359" s="35"/>
      <c r="R1359" s="19"/>
      <c r="S1359" s="557"/>
      <c r="T1359" s="2"/>
    </row>
    <row r="1360" spans="1:20" s="1" customFormat="1" ht="114" customHeight="1" x14ac:dyDescent="0.35">
      <c r="A1360" s="605"/>
      <c r="B1360" s="541"/>
      <c r="C1360" s="19" t="s">
        <v>79</v>
      </c>
      <c r="D1360" s="41" t="s">
        <v>111</v>
      </c>
      <c r="E1360" s="19" t="s">
        <v>18</v>
      </c>
      <c r="F1360" s="19">
        <v>100</v>
      </c>
      <c r="G1360" s="19">
        <v>100</v>
      </c>
      <c r="H1360" s="24">
        <f>IF(G1360/F1360*100&gt;100,100,G1360/F1360*100)</f>
        <v>100</v>
      </c>
      <c r="I1360" s="19"/>
      <c r="J1360" s="129"/>
      <c r="K1360" s="41"/>
      <c r="L1360" s="19"/>
      <c r="M1360" s="122"/>
      <c r="N1360" s="122"/>
      <c r="O1360" s="24"/>
      <c r="P1360" s="468"/>
      <c r="Q1360" s="35"/>
      <c r="R1360" s="19"/>
      <c r="S1360" s="557"/>
      <c r="T1360" s="2"/>
    </row>
    <row r="1361" spans="1:20" s="1" customFormat="1" ht="40.5" customHeight="1" x14ac:dyDescent="0.35">
      <c r="A1361" s="605"/>
      <c r="B1361" s="541"/>
      <c r="C1361" s="465"/>
      <c r="D1361" s="466" t="s">
        <v>644</v>
      </c>
      <c r="E1361" s="465"/>
      <c r="F1361" s="20"/>
      <c r="G1361" s="20"/>
      <c r="H1361" s="18"/>
      <c r="I1361" s="18">
        <f>(H1356+H1357+H1358+H1359+H1360)/5</f>
        <v>100</v>
      </c>
      <c r="J1361" s="128"/>
      <c r="K1361" s="466" t="s">
        <v>644</v>
      </c>
      <c r="L1361" s="20"/>
      <c r="M1361" s="124"/>
      <c r="N1361" s="124"/>
      <c r="O1361" s="18"/>
      <c r="P1361" s="18">
        <f>O1356</f>
        <v>101.25786163522012</v>
      </c>
      <c r="Q1361" s="18">
        <f>(I1361+P1361)/2</f>
        <v>100.62893081761007</v>
      </c>
      <c r="R1361" s="465" t="s">
        <v>25</v>
      </c>
      <c r="S1361" s="557"/>
      <c r="T1361" s="2"/>
    </row>
    <row r="1362" spans="1:20" s="1" customFormat="1" ht="87.75" customHeight="1" x14ac:dyDescent="0.35">
      <c r="A1362" s="605"/>
      <c r="B1362" s="541"/>
      <c r="C1362" s="454" t="s">
        <v>36</v>
      </c>
      <c r="D1362" s="59" t="s">
        <v>116</v>
      </c>
      <c r="E1362" s="19"/>
      <c r="F1362" s="19"/>
      <c r="G1362" s="19"/>
      <c r="H1362" s="35"/>
      <c r="I1362" s="35"/>
      <c r="J1362" s="454" t="s">
        <v>36</v>
      </c>
      <c r="K1362" s="59" t="str">
        <f>D1362</f>
        <v>Реализация основных общеобразовательных программ среднего общего образования</v>
      </c>
      <c r="L1362" s="19"/>
      <c r="M1362" s="122"/>
      <c r="N1362" s="122"/>
      <c r="O1362" s="35"/>
      <c r="P1362" s="468"/>
      <c r="Q1362" s="35"/>
      <c r="R1362" s="19"/>
      <c r="S1362" s="557"/>
      <c r="T1362" s="2"/>
    </row>
    <row r="1363" spans="1:20" s="1" customFormat="1" ht="78.75" customHeight="1" x14ac:dyDescent="0.35">
      <c r="A1363" s="605"/>
      <c r="B1363" s="541"/>
      <c r="C1363" s="19" t="s">
        <v>38</v>
      </c>
      <c r="D1363" s="41" t="s">
        <v>117</v>
      </c>
      <c r="E1363" s="19" t="s">
        <v>18</v>
      </c>
      <c r="F1363" s="19">
        <v>100</v>
      </c>
      <c r="G1363" s="19">
        <v>100</v>
      </c>
      <c r="H1363" s="24">
        <f>IF(G1363/F1363*100&gt;100,100,G1363/F1363*100)</f>
        <v>100</v>
      </c>
      <c r="I1363" s="19"/>
      <c r="J1363" s="129" t="s">
        <v>38</v>
      </c>
      <c r="K1363" s="41" t="s">
        <v>106</v>
      </c>
      <c r="L1363" s="19" t="s">
        <v>20</v>
      </c>
      <c r="M1363" s="19">
        <v>38</v>
      </c>
      <c r="N1363" s="19">
        <v>37</v>
      </c>
      <c r="O1363" s="24">
        <f>IF(N1363/M1363*100&gt;110,110,N1363/M1363*100)</f>
        <v>97.368421052631575</v>
      </c>
      <c r="P1363" s="19"/>
      <c r="Q1363" s="35"/>
      <c r="R1363" s="19"/>
      <c r="S1363" s="557"/>
      <c r="T1363" s="2"/>
    </row>
    <row r="1364" spans="1:20" s="1" customFormat="1" x14ac:dyDescent="0.35">
      <c r="A1364" s="605"/>
      <c r="B1364" s="541"/>
      <c r="C1364" s="19" t="s">
        <v>118</v>
      </c>
      <c r="D1364" s="41" t="s">
        <v>119</v>
      </c>
      <c r="E1364" s="19" t="s">
        <v>18</v>
      </c>
      <c r="F1364" s="19">
        <v>100</v>
      </c>
      <c r="G1364" s="19">
        <v>100</v>
      </c>
      <c r="H1364" s="24">
        <f>IF(G1364/F1364*100&gt;100,100,G1364/F1364*100)</f>
        <v>100</v>
      </c>
      <c r="I1364" s="19"/>
      <c r="J1364" s="129"/>
      <c r="K1364" s="41"/>
      <c r="L1364" s="19"/>
      <c r="M1364" s="122"/>
      <c r="N1364" s="122"/>
      <c r="O1364" s="24"/>
      <c r="P1364" s="468"/>
      <c r="Q1364" s="35"/>
      <c r="R1364" s="19"/>
      <c r="S1364" s="557"/>
      <c r="T1364" s="2"/>
    </row>
    <row r="1365" spans="1:20" s="1" customFormat="1" ht="52.5" customHeight="1" x14ac:dyDescent="0.35">
      <c r="A1365" s="605"/>
      <c r="B1365" s="541"/>
      <c r="C1365" s="19" t="s">
        <v>120</v>
      </c>
      <c r="D1365" s="41" t="s">
        <v>108</v>
      </c>
      <c r="E1365" s="19" t="s">
        <v>18</v>
      </c>
      <c r="F1365" s="19">
        <v>100</v>
      </c>
      <c r="G1365" s="19">
        <v>100</v>
      </c>
      <c r="H1365" s="24">
        <f>IF(G1365/F1365*100&gt;100,100,G1365/F1365*100)</f>
        <v>100</v>
      </c>
      <c r="I1365" s="19"/>
      <c r="J1365" s="129"/>
      <c r="K1365" s="41"/>
      <c r="L1365" s="19"/>
      <c r="M1365" s="122"/>
      <c r="N1365" s="122"/>
      <c r="O1365" s="24"/>
      <c r="P1365" s="468"/>
      <c r="Q1365" s="35"/>
      <c r="R1365" s="19"/>
      <c r="S1365" s="557"/>
      <c r="T1365" s="2"/>
    </row>
    <row r="1366" spans="1:20" s="1" customFormat="1" ht="70.5" customHeight="1" x14ac:dyDescent="0.35">
      <c r="A1366" s="605"/>
      <c r="B1366" s="541"/>
      <c r="C1366" s="19" t="s">
        <v>121</v>
      </c>
      <c r="D1366" s="41" t="s">
        <v>157</v>
      </c>
      <c r="E1366" s="19" t="s">
        <v>18</v>
      </c>
      <c r="F1366" s="19">
        <v>90</v>
      </c>
      <c r="G1366" s="19">
        <v>100</v>
      </c>
      <c r="H1366" s="24">
        <f>IF(G1366/F1366*100&gt;100,100,G1366/F1366*100)</f>
        <v>100</v>
      </c>
      <c r="I1366" s="19"/>
      <c r="J1366" s="129"/>
      <c r="K1366" s="41"/>
      <c r="L1366" s="19"/>
      <c r="M1366" s="122"/>
      <c r="N1366" s="122"/>
      <c r="O1366" s="24"/>
      <c r="P1366" s="468"/>
      <c r="Q1366" s="35"/>
      <c r="R1366" s="19"/>
      <c r="S1366" s="557"/>
      <c r="T1366" s="2"/>
    </row>
    <row r="1367" spans="1:20" s="1" customFormat="1" ht="125.25" customHeight="1" x14ac:dyDescent="0.35">
      <c r="A1367" s="605"/>
      <c r="B1367" s="541"/>
      <c r="C1367" s="19" t="s">
        <v>122</v>
      </c>
      <c r="D1367" s="41" t="s">
        <v>111</v>
      </c>
      <c r="E1367" s="19" t="s">
        <v>18</v>
      </c>
      <c r="F1367" s="19">
        <v>100</v>
      </c>
      <c r="G1367" s="19">
        <v>100</v>
      </c>
      <c r="H1367" s="24">
        <f>IF(G1367/F1367*100&gt;100,100,G1367/F1367*100)</f>
        <v>100</v>
      </c>
      <c r="I1367" s="19"/>
      <c r="J1367" s="129"/>
      <c r="K1367" s="41"/>
      <c r="L1367" s="19"/>
      <c r="M1367" s="122"/>
      <c r="N1367" s="122"/>
      <c r="O1367" s="24"/>
      <c r="P1367" s="468"/>
      <c r="Q1367" s="35"/>
      <c r="R1367" s="19"/>
      <c r="S1367" s="557"/>
      <c r="T1367" s="2"/>
    </row>
    <row r="1368" spans="1:20" s="1" customFormat="1" ht="40.5" customHeight="1" x14ac:dyDescent="0.35">
      <c r="A1368" s="605"/>
      <c r="B1368" s="541"/>
      <c r="C1368" s="465"/>
      <c r="D1368" s="466" t="s">
        <v>644</v>
      </c>
      <c r="E1368" s="465"/>
      <c r="F1368" s="20"/>
      <c r="G1368" s="20"/>
      <c r="H1368" s="18"/>
      <c r="I1368" s="18">
        <f>(H1363+H1364+H1365+H1366+H1367)/5</f>
        <v>100</v>
      </c>
      <c r="J1368" s="128"/>
      <c r="K1368" s="466" t="s">
        <v>644</v>
      </c>
      <c r="L1368" s="20"/>
      <c r="M1368" s="124"/>
      <c r="N1368" s="124"/>
      <c r="O1368" s="18"/>
      <c r="P1368" s="18">
        <f>O1363</f>
        <v>97.368421052631575</v>
      </c>
      <c r="Q1368" s="18">
        <f>(I1368+P1368)/2</f>
        <v>98.68421052631578</v>
      </c>
      <c r="R1368" s="465" t="s">
        <v>112</v>
      </c>
      <c r="S1368" s="557"/>
      <c r="T1368" s="2"/>
    </row>
    <row r="1369" spans="1:20" s="1" customFormat="1" x14ac:dyDescent="0.35">
      <c r="A1369" s="605"/>
      <c r="B1369" s="541"/>
      <c r="C1369" s="454" t="s">
        <v>123</v>
      </c>
      <c r="D1369" s="59" t="s">
        <v>27</v>
      </c>
      <c r="E1369" s="19"/>
      <c r="F1369" s="19"/>
      <c r="G1369" s="19"/>
      <c r="H1369" s="35"/>
      <c r="I1369" s="35"/>
      <c r="J1369" s="454" t="s">
        <v>123</v>
      </c>
      <c r="K1369" s="59" t="s">
        <v>27</v>
      </c>
      <c r="L1369" s="19"/>
      <c r="M1369" s="122"/>
      <c r="N1369" s="122"/>
      <c r="O1369" s="35"/>
      <c r="P1369" s="468"/>
      <c r="Q1369" s="35"/>
      <c r="R1369" s="19"/>
      <c r="S1369" s="557"/>
      <c r="T1369" s="2"/>
    </row>
    <row r="1370" spans="1:20" s="1" customFormat="1" ht="45.75" customHeight="1" x14ac:dyDescent="0.35">
      <c r="A1370" s="605"/>
      <c r="B1370" s="541"/>
      <c r="C1370" s="19" t="s">
        <v>124</v>
      </c>
      <c r="D1370" s="41" t="s">
        <v>125</v>
      </c>
      <c r="E1370" s="19" t="s">
        <v>18</v>
      </c>
      <c r="F1370" s="19">
        <v>100</v>
      </c>
      <c r="G1370" s="19">
        <v>100</v>
      </c>
      <c r="H1370" s="24">
        <f>IF(G1370/F1370*100&gt;100,100,G1370/F1370*100)</f>
        <v>100</v>
      </c>
      <c r="I1370" s="19"/>
      <c r="J1370" s="129" t="s">
        <v>124</v>
      </c>
      <c r="K1370" s="41" t="s">
        <v>106</v>
      </c>
      <c r="L1370" s="19" t="s">
        <v>20</v>
      </c>
      <c r="M1370" s="19">
        <v>25</v>
      </c>
      <c r="N1370" s="19">
        <v>25</v>
      </c>
      <c r="O1370" s="24">
        <f>IF(N1370/M1370*100&gt;110,110,N1370/M1370*100)</f>
        <v>100</v>
      </c>
      <c r="P1370" s="468"/>
      <c r="Q1370" s="35"/>
      <c r="R1370" s="19"/>
      <c r="S1370" s="557"/>
      <c r="T1370" s="2"/>
    </row>
    <row r="1371" spans="1:20" s="1" customFormat="1" ht="84" customHeight="1" x14ac:dyDescent="0.35">
      <c r="A1371" s="605"/>
      <c r="B1371" s="541"/>
      <c r="C1371" s="19" t="s">
        <v>127</v>
      </c>
      <c r="D1371" s="41" t="s">
        <v>128</v>
      </c>
      <c r="E1371" s="19" t="s">
        <v>18</v>
      </c>
      <c r="F1371" s="19">
        <v>90</v>
      </c>
      <c r="G1371" s="19">
        <v>90</v>
      </c>
      <c r="H1371" s="24">
        <f>IF(G1371/F1371*100&gt;100,100,G1371/F1371*100)</f>
        <v>100</v>
      </c>
      <c r="I1371" s="19"/>
      <c r="J1371" s="129"/>
      <c r="K1371" s="41"/>
      <c r="L1371" s="19"/>
      <c r="M1371" s="122"/>
      <c r="N1371" s="122"/>
      <c r="O1371" s="24"/>
      <c r="P1371" s="468"/>
      <c r="Q1371" s="35"/>
      <c r="R1371" s="19"/>
      <c r="S1371" s="557"/>
      <c r="T1371" s="2"/>
    </row>
    <row r="1372" spans="1:20" s="1" customFormat="1" ht="40.5" customHeight="1" x14ac:dyDescent="0.35">
      <c r="A1372" s="605"/>
      <c r="B1372" s="541"/>
      <c r="C1372" s="465"/>
      <c r="D1372" s="466" t="s">
        <v>644</v>
      </c>
      <c r="E1372" s="465"/>
      <c r="F1372" s="20"/>
      <c r="G1372" s="20"/>
      <c r="H1372" s="18"/>
      <c r="I1372" s="18">
        <f>(H1370+H1371)/2</f>
        <v>100</v>
      </c>
      <c r="J1372" s="128"/>
      <c r="K1372" s="466" t="s">
        <v>644</v>
      </c>
      <c r="L1372" s="20"/>
      <c r="M1372" s="124"/>
      <c r="N1372" s="124"/>
      <c r="O1372" s="18"/>
      <c r="P1372" s="18">
        <f>O1370</f>
        <v>100</v>
      </c>
      <c r="Q1372" s="18">
        <f>(I1372+P1372)/2</f>
        <v>100</v>
      </c>
      <c r="R1372" s="465" t="s">
        <v>25</v>
      </c>
      <c r="S1372" s="557"/>
      <c r="T1372" s="2"/>
    </row>
    <row r="1373" spans="1:20" s="1" customFormat="1" ht="60" customHeight="1" x14ac:dyDescent="0.35">
      <c r="A1373" s="605"/>
      <c r="B1373" s="541"/>
      <c r="C1373" s="454" t="s">
        <v>129</v>
      </c>
      <c r="D1373" s="59" t="s">
        <v>130</v>
      </c>
      <c r="E1373" s="19"/>
      <c r="F1373" s="19"/>
      <c r="G1373" s="19"/>
      <c r="H1373" s="35"/>
      <c r="I1373" s="35"/>
      <c r="J1373" s="454" t="s">
        <v>129</v>
      </c>
      <c r="K1373" s="59" t="str">
        <f>D1373</f>
        <v>Реализация дополнительных общеразвивающих программ</v>
      </c>
      <c r="L1373" s="19"/>
      <c r="M1373" s="122"/>
      <c r="N1373" s="122"/>
      <c r="O1373" s="35"/>
      <c r="P1373" s="468"/>
      <c r="Q1373" s="35"/>
      <c r="R1373" s="19"/>
      <c r="S1373" s="557"/>
      <c r="T1373" s="2"/>
    </row>
    <row r="1374" spans="1:20" s="1" customFormat="1" ht="81.75" customHeight="1" x14ac:dyDescent="0.35">
      <c r="A1374" s="605"/>
      <c r="B1374" s="541"/>
      <c r="C1374" s="19" t="s">
        <v>131</v>
      </c>
      <c r="D1374" s="41" t="s">
        <v>128</v>
      </c>
      <c r="E1374" s="19" t="s">
        <v>18</v>
      </c>
      <c r="F1374" s="19">
        <v>90</v>
      </c>
      <c r="G1374" s="19">
        <v>90</v>
      </c>
      <c r="H1374" s="24">
        <f>IF(G1374/F1374*100&gt;100,100,G1374/F1374*100)</f>
        <v>100</v>
      </c>
      <c r="I1374" s="19"/>
      <c r="J1374" s="129" t="s">
        <v>131</v>
      </c>
      <c r="K1374" s="41" t="s">
        <v>136</v>
      </c>
      <c r="L1374" s="19" t="s">
        <v>139</v>
      </c>
      <c r="M1374" s="19">
        <v>44452.4</v>
      </c>
      <c r="N1374" s="19">
        <v>44452.4</v>
      </c>
      <c r="O1374" s="24">
        <f>IF(N1374/M1374*100&gt;110,110,N1374/M1374*100)</f>
        <v>100</v>
      </c>
      <c r="P1374" s="468"/>
      <c r="Q1374" s="35"/>
      <c r="R1374" s="19"/>
      <c r="S1374" s="557"/>
      <c r="T1374" s="2"/>
    </row>
    <row r="1375" spans="1:20" s="1" customFormat="1" ht="52.5" customHeight="1" x14ac:dyDescent="0.35">
      <c r="A1375" s="605"/>
      <c r="B1375" s="541"/>
      <c r="C1375" s="465"/>
      <c r="D1375" s="466" t="s">
        <v>644</v>
      </c>
      <c r="E1375" s="465"/>
      <c r="F1375" s="20"/>
      <c r="G1375" s="20"/>
      <c r="H1375" s="18"/>
      <c r="I1375" s="18">
        <f>H1374</f>
        <v>100</v>
      </c>
      <c r="J1375" s="128"/>
      <c r="K1375" s="466" t="s">
        <v>644</v>
      </c>
      <c r="L1375" s="20"/>
      <c r="M1375" s="124"/>
      <c r="N1375" s="124"/>
      <c r="O1375" s="18"/>
      <c r="P1375" s="18">
        <f>O1374</f>
        <v>100</v>
      </c>
      <c r="Q1375" s="18">
        <f>(I1375+P1375)/2</f>
        <v>100</v>
      </c>
      <c r="R1375" s="465" t="s">
        <v>25</v>
      </c>
      <c r="S1375" s="557"/>
      <c r="T1375" s="2"/>
    </row>
    <row r="1376" spans="1:20" s="1" customFormat="1" ht="78.75" customHeight="1" x14ac:dyDescent="0.35">
      <c r="A1376" s="605">
        <v>64</v>
      </c>
      <c r="B1376" s="541" t="s">
        <v>197</v>
      </c>
      <c r="C1376" s="454" t="s">
        <v>13</v>
      </c>
      <c r="D1376" s="59" t="s">
        <v>103</v>
      </c>
      <c r="E1376" s="454"/>
      <c r="F1376" s="454"/>
      <c r="G1376" s="454"/>
      <c r="H1376" s="35"/>
      <c r="I1376" s="35"/>
      <c r="J1376" s="454" t="s">
        <v>13</v>
      </c>
      <c r="K1376" s="59" t="s">
        <v>103</v>
      </c>
      <c r="L1376" s="19"/>
      <c r="M1376" s="19"/>
      <c r="N1376" s="19"/>
      <c r="O1376" s="35"/>
      <c r="P1376" s="468"/>
      <c r="Q1376" s="35"/>
      <c r="R1376" s="19"/>
      <c r="S1376" s="557" t="s">
        <v>104</v>
      </c>
      <c r="T1376" s="2"/>
    </row>
    <row r="1377" spans="1:20" s="1" customFormat="1" ht="78" customHeight="1" x14ac:dyDescent="0.35">
      <c r="A1377" s="605"/>
      <c r="B1377" s="541"/>
      <c r="C1377" s="19" t="s">
        <v>16</v>
      </c>
      <c r="D1377" s="41" t="s">
        <v>105</v>
      </c>
      <c r="E1377" s="19" t="s">
        <v>18</v>
      </c>
      <c r="F1377" s="19">
        <v>100</v>
      </c>
      <c r="G1377" s="19">
        <v>100</v>
      </c>
      <c r="H1377" s="24">
        <f>IF(G1377/F1377*100&gt;100,100,G1377/F1377*100)</f>
        <v>100</v>
      </c>
      <c r="I1377" s="19"/>
      <c r="J1377" s="19" t="s">
        <v>16</v>
      </c>
      <c r="K1377" s="41" t="s">
        <v>106</v>
      </c>
      <c r="L1377" s="19" t="s">
        <v>20</v>
      </c>
      <c r="M1377" s="19">
        <v>270</v>
      </c>
      <c r="N1377" s="19">
        <v>272</v>
      </c>
      <c r="O1377" s="24">
        <f>IF(N1377/M1377*100&gt;110,110,N1377/M1377*100)</f>
        <v>100.74074074074073</v>
      </c>
      <c r="P1377" s="468"/>
      <c r="Q1377" s="35"/>
      <c r="R1377" s="19"/>
      <c r="S1377" s="557"/>
      <c r="T1377" s="2"/>
    </row>
    <row r="1378" spans="1:20" s="1" customFormat="1" x14ac:dyDescent="0.35">
      <c r="A1378" s="605"/>
      <c r="B1378" s="541"/>
      <c r="C1378" s="19" t="s">
        <v>21</v>
      </c>
      <c r="D1378" s="41" t="s">
        <v>135</v>
      </c>
      <c r="E1378" s="19" t="s">
        <v>18</v>
      </c>
      <c r="F1378" s="19">
        <v>100</v>
      </c>
      <c r="G1378" s="19">
        <v>100</v>
      </c>
      <c r="H1378" s="24">
        <f>IF(G1378/F1378*100&gt;100,100,G1378/F1378*100)</f>
        <v>100</v>
      </c>
      <c r="I1378" s="19"/>
      <c r="J1378" s="19"/>
      <c r="K1378" s="455"/>
      <c r="L1378" s="19"/>
      <c r="M1378" s="476"/>
      <c r="N1378" s="476"/>
      <c r="O1378" s="24"/>
      <c r="P1378" s="468"/>
      <c r="Q1378" s="35"/>
      <c r="R1378" s="19"/>
      <c r="S1378" s="557"/>
      <c r="T1378" s="2"/>
    </row>
    <row r="1379" spans="1:20" s="1" customFormat="1" ht="60.75" customHeight="1" x14ac:dyDescent="0.35">
      <c r="A1379" s="605"/>
      <c r="B1379" s="541"/>
      <c r="C1379" s="19" t="s">
        <v>23</v>
      </c>
      <c r="D1379" s="41" t="s">
        <v>108</v>
      </c>
      <c r="E1379" s="19" t="s">
        <v>18</v>
      </c>
      <c r="F1379" s="19">
        <v>100</v>
      </c>
      <c r="G1379" s="19">
        <v>100</v>
      </c>
      <c r="H1379" s="24">
        <f>IF(G1379/F1379*100&gt;100,100,G1379/F1379*100)</f>
        <v>100</v>
      </c>
      <c r="I1379" s="19"/>
      <c r="J1379" s="129"/>
      <c r="K1379" s="41"/>
      <c r="L1379" s="19"/>
      <c r="M1379" s="122"/>
      <c r="N1379" s="122"/>
      <c r="O1379" s="24"/>
      <c r="P1379" s="468"/>
      <c r="Q1379" s="35"/>
      <c r="R1379" s="19"/>
      <c r="S1379" s="557"/>
      <c r="T1379" s="2"/>
    </row>
    <row r="1380" spans="1:20" s="1" customFormat="1" ht="76.5" customHeight="1" x14ac:dyDescent="0.35">
      <c r="A1380" s="605"/>
      <c r="B1380" s="541"/>
      <c r="C1380" s="19" t="s">
        <v>109</v>
      </c>
      <c r="D1380" s="41" t="s">
        <v>17</v>
      </c>
      <c r="E1380" s="19" t="s">
        <v>18</v>
      </c>
      <c r="F1380" s="19">
        <v>90</v>
      </c>
      <c r="G1380" s="19">
        <v>100</v>
      </c>
      <c r="H1380" s="24">
        <f>IF(G1380/F1380*100&gt;100,100,G1380/F1380*100)</f>
        <v>100</v>
      </c>
      <c r="I1380" s="19"/>
      <c r="J1380" s="129"/>
      <c r="K1380" s="41"/>
      <c r="L1380" s="19"/>
      <c r="M1380" s="122"/>
      <c r="N1380" s="122"/>
      <c r="O1380" s="24"/>
      <c r="P1380" s="468"/>
      <c r="Q1380" s="35"/>
      <c r="R1380" s="19"/>
      <c r="S1380" s="557"/>
      <c r="T1380" s="2"/>
    </row>
    <row r="1381" spans="1:20" s="1" customFormat="1" ht="114.75" customHeight="1" x14ac:dyDescent="0.35">
      <c r="A1381" s="605"/>
      <c r="B1381" s="541"/>
      <c r="C1381" s="19" t="s">
        <v>110</v>
      </c>
      <c r="D1381" s="41" t="s">
        <v>111</v>
      </c>
      <c r="E1381" s="19" t="s">
        <v>18</v>
      </c>
      <c r="F1381" s="19">
        <v>100</v>
      </c>
      <c r="G1381" s="19">
        <v>100</v>
      </c>
      <c r="H1381" s="24">
        <f>IF(G1381/F1381*100&gt;100,100,G1381/F1381*100)</f>
        <v>100</v>
      </c>
      <c r="I1381" s="19"/>
      <c r="J1381" s="129"/>
      <c r="K1381" s="41"/>
      <c r="L1381" s="19"/>
      <c r="M1381" s="122"/>
      <c r="N1381" s="122"/>
      <c r="O1381" s="24"/>
      <c r="P1381" s="468"/>
      <c r="Q1381" s="35"/>
      <c r="R1381" s="19"/>
      <c r="S1381" s="557"/>
      <c r="T1381" s="2"/>
    </row>
    <row r="1382" spans="1:20" s="1" customFormat="1" ht="50.25" customHeight="1" x14ac:dyDescent="0.35">
      <c r="A1382" s="605"/>
      <c r="B1382" s="541"/>
      <c r="C1382" s="465"/>
      <c r="D1382" s="466" t="s">
        <v>644</v>
      </c>
      <c r="E1382" s="465"/>
      <c r="F1382" s="20"/>
      <c r="G1382" s="20"/>
      <c r="H1382" s="18"/>
      <c r="I1382" s="18">
        <f>(H1377+H1378+H1379+H1380+H1381)/5</f>
        <v>100</v>
      </c>
      <c r="J1382" s="128"/>
      <c r="K1382" s="466" t="s">
        <v>644</v>
      </c>
      <c r="L1382" s="20"/>
      <c r="M1382" s="124"/>
      <c r="N1382" s="124"/>
      <c r="O1382" s="18"/>
      <c r="P1382" s="18">
        <f>O1377</f>
        <v>100.74074074074073</v>
      </c>
      <c r="Q1382" s="18">
        <f>(I1382+P1382)/2</f>
        <v>100.37037037037037</v>
      </c>
      <c r="R1382" s="465" t="s">
        <v>25</v>
      </c>
      <c r="S1382" s="557"/>
      <c r="T1382" s="2"/>
    </row>
    <row r="1383" spans="1:20" s="1" customFormat="1" ht="72.75" customHeight="1" x14ac:dyDescent="0.35">
      <c r="A1383" s="605"/>
      <c r="B1383" s="541"/>
      <c r="C1383" s="454" t="s">
        <v>26</v>
      </c>
      <c r="D1383" s="59" t="s">
        <v>113</v>
      </c>
      <c r="E1383" s="19"/>
      <c r="F1383" s="19"/>
      <c r="G1383" s="19"/>
      <c r="H1383" s="35"/>
      <c r="I1383" s="35"/>
      <c r="J1383" s="454" t="s">
        <v>26</v>
      </c>
      <c r="K1383" s="59" t="s">
        <v>113</v>
      </c>
      <c r="L1383" s="19"/>
      <c r="M1383" s="122"/>
      <c r="N1383" s="122"/>
      <c r="O1383" s="35"/>
      <c r="P1383" s="468"/>
      <c r="Q1383" s="35"/>
      <c r="R1383" s="19"/>
      <c r="S1383" s="557"/>
      <c r="T1383" s="2"/>
    </row>
    <row r="1384" spans="1:20" s="1" customFormat="1" ht="71.25" customHeight="1" x14ac:dyDescent="0.35">
      <c r="A1384" s="605"/>
      <c r="B1384" s="541"/>
      <c r="C1384" s="19" t="s">
        <v>28</v>
      </c>
      <c r="D1384" s="41" t="s">
        <v>114</v>
      </c>
      <c r="E1384" s="19" t="s">
        <v>18</v>
      </c>
      <c r="F1384" s="19">
        <v>100</v>
      </c>
      <c r="G1384" s="19">
        <v>100</v>
      </c>
      <c r="H1384" s="24">
        <f>IF(G1384/F1384*100&gt;100,100,G1384/F1384*100)</f>
        <v>100</v>
      </c>
      <c r="I1384" s="19"/>
      <c r="J1384" s="129" t="s">
        <v>28</v>
      </c>
      <c r="K1384" s="41" t="s">
        <v>106</v>
      </c>
      <c r="L1384" s="19" t="s">
        <v>20</v>
      </c>
      <c r="M1384" s="19">
        <v>325</v>
      </c>
      <c r="N1384" s="19">
        <v>326</v>
      </c>
      <c r="O1384" s="24">
        <f>IF(N1384/M1384*100&gt;110,110,N1384/M1384*100)</f>
        <v>100.30769230769229</v>
      </c>
      <c r="P1384" s="19"/>
      <c r="Q1384" s="35"/>
      <c r="R1384" s="19"/>
      <c r="S1384" s="557"/>
      <c r="T1384" s="2"/>
    </row>
    <row r="1385" spans="1:20" s="1" customFormat="1" ht="33.75" customHeight="1" x14ac:dyDescent="0.35">
      <c r="A1385" s="605"/>
      <c r="B1385" s="541"/>
      <c r="C1385" s="19" t="s">
        <v>30</v>
      </c>
      <c r="D1385" s="41" t="s">
        <v>115</v>
      </c>
      <c r="E1385" s="19" t="s">
        <v>18</v>
      </c>
      <c r="F1385" s="19">
        <v>100</v>
      </c>
      <c r="G1385" s="19">
        <v>100</v>
      </c>
      <c r="H1385" s="24">
        <f>IF(G1385/F1385*100&gt;100,100,G1385/F1385*100)</f>
        <v>100</v>
      </c>
      <c r="I1385" s="19"/>
      <c r="J1385" s="129"/>
      <c r="K1385" s="41"/>
      <c r="L1385" s="19"/>
      <c r="M1385" s="122"/>
      <c r="N1385" s="122"/>
      <c r="O1385" s="24"/>
      <c r="P1385" s="468"/>
      <c r="Q1385" s="35"/>
      <c r="R1385" s="19"/>
      <c r="S1385" s="557"/>
      <c r="T1385" s="2"/>
    </row>
    <row r="1386" spans="1:20" s="1" customFormat="1" ht="52.5" customHeight="1" x14ac:dyDescent="0.35">
      <c r="A1386" s="605"/>
      <c r="B1386" s="541"/>
      <c r="C1386" s="19" t="s">
        <v>34</v>
      </c>
      <c r="D1386" s="41" t="s">
        <v>108</v>
      </c>
      <c r="E1386" s="19" t="s">
        <v>18</v>
      </c>
      <c r="F1386" s="19">
        <v>100</v>
      </c>
      <c r="G1386" s="19">
        <v>100</v>
      </c>
      <c r="H1386" s="24">
        <f>IF(G1386/F1386*100&gt;100,100,G1386/F1386*100)</f>
        <v>100</v>
      </c>
      <c r="I1386" s="19"/>
      <c r="J1386" s="129"/>
      <c r="K1386" s="41"/>
      <c r="L1386" s="19"/>
      <c r="M1386" s="122"/>
      <c r="N1386" s="122"/>
      <c r="O1386" s="24"/>
      <c r="P1386" s="468"/>
      <c r="Q1386" s="35"/>
      <c r="R1386" s="19"/>
      <c r="S1386" s="557"/>
      <c r="T1386" s="2"/>
    </row>
    <row r="1387" spans="1:20" s="1" customFormat="1" ht="78" customHeight="1" x14ac:dyDescent="0.35">
      <c r="A1387" s="605"/>
      <c r="B1387" s="541"/>
      <c r="C1387" s="19" t="s">
        <v>78</v>
      </c>
      <c r="D1387" s="41" t="s">
        <v>17</v>
      </c>
      <c r="E1387" s="19" t="s">
        <v>18</v>
      </c>
      <c r="F1387" s="19">
        <v>90</v>
      </c>
      <c r="G1387" s="19">
        <v>100</v>
      </c>
      <c r="H1387" s="24">
        <f>IF(G1387/F1387*100&gt;100,100,G1387/F1387*100)</f>
        <v>100</v>
      </c>
      <c r="I1387" s="19"/>
      <c r="J1387" s="129"/>
      <c r="K1387" s="41"/>
      <c r="L1387" s="19"/>
      <c r="M1387" s="122"/>
      <c r="N1387" s="122"/>
      <c r="O1387" s="24"/>
      <c r="P1387" s="468"/>
      <c r="Q1387" s="35"/>
      <c r="R1387" s="19"/>
      <c r="S1387" s="557"/>
      <c r="T1387" s="2"/>
    </row>
    <row r="1388" spans="1:20" s="1" customFormat="1" ht="123.75" customHeight="1" x14ac:dyDescent="0.35">
      <c r="A1388" s="605"/>
      <c r="B1388" s="541"/>
      <c r="C1388" s="19" t="s">
        <v>79</v>
      </c>
      <c r="D1388" s="41" t="s">
        <v>111</v>
      </c>
      <c r="E1388" s="19" t="s">
        <v>18</v>
      </c>
      <c r="F1388" s="19">
        <v>100</v>
      </c>
      <c r="G1388" s="19">
        <v>100</v>
      </c>
      <c r="H1388" s="24">
        <f>IF(G1388/F1388*100&gt;100,100,G1388/F1388*100)</f>
        <v>100</v>
      </c>
      <c r="I1388" s="19"/>
      <c r="J1388" s="129"/>
      <c r="K1388" s="41"/>
      <c r="L1388" s="19"/>
      <c r="M1388" s="122"/>
      <c r="N1388" s="122"/>
      <c r="O1388" s="24"/>
      <c r="P1388" s="468"/>
      <c r="Q1388" s="35"/>
      <c r="R1388" s="19"/>
      <c r="S1388" s="557"/>
      <c r="T1388" s="2"/>
    </row>
    <row r="1389" spans="1:20" s="1" customFormat="1" ht="40.5" customHeight="1" x14ac:dyDescent="0.35">
      <c r="A1389" s="605"/>
      <c r="B1389" s="541"/>
      <c r="C1389" s="465"/>
      <c r="D1389" s="466" t="s">
        <v>644</v>
      </c>
      <c r="E1389" s="465"/>
      <c r="F1389" s="20"/>
      <c r="G1389" s="20"/>
      <c r="H1389" s="18"/>
      <c r="I1389" s="18">
        <f>(H1384+H1385+H1386+H1387+H1388)/5</f>
        <v>100</v>
      </c>
      <c r="J1389" s="128"/>
      <c r="K1389" s="466" t="s">
        <v>644</v>
      </c>
      <c r="L1389" s="20"/>
      <c r="M1389" s="124"/>
      <c r="N1389" s="124"/>
      <c r="O1389" s="18"/>
      <c r="P1389" s="18">
        <f>O1384</f>
        <v>100.30769230769229</v>
      </c>
      <c r="Q1389" s="18">
        <f>(I1389+P1389)/2</f>
        <v>100.15384615384615</v>
      </c>
      <c r="R1389" s="465" t="s">
        <v>25</v>
      </c>
      <c r="S1389" s="557"/>
      <c r="T1389" s="2"/>
    </row>
    <row r="1390" spans="1:20" s="1" customFormat="1" ht="77.25" customHeight="1" x14ac:dyDescent="0.35">
      <c r="A1390" s="605"/>
      <c r="B1390" s="541"/>
      <c r="C1390" s="454" t="s">
        <v>36</v>
      </c>
      <c r="D1390" s="59" t="s">
        <v>116</v>
      </c>
      <c r="E1390" s="19"/>
      <c r="F1390" s="19"/>
      <c r="G1390" s="19"/>
      <c r="H1390" s="35"/>
      <c r="I1390" s="35"/>
      <c r="J1390" s="454" t="s">
        <v>36</v>
      </c>
      <c r="K1390" s="59" t="str">
        <f>D1390</f>
        <v>Реализация основных общеобразовательных программ среднего общего образования</v>
      </c>
      <c r="L1390" s="19"/>
      <c r="M1390" s="122"/>
      <c r="N1390" s="122"/>
      <c r="O1390" s="35"/>
      <c r="P1390" s="468"/>
      <c r="Q1390" s="35"/>
      <c r="R1390" s="19"/>
      <c r="S1390" s="557"/>
      <c r="T1390" s="2"/>
    </row>
    <row r="1391" spans="1:20" s="1" customFormat="1" ht="71.25" customHeight="1" x14ac:dyDescent="0.35">
      <c r="A1391" s="605"/>
      <c r="B1391" s="541"/>
      <c r="C1391" s="19" t="s">
        <v>38</v>
      </c>
      <c r="D1391" s="41" t="s">
        <v>117</v>
      </c>
      <c r="E1391" s="19" t="s">
        <v>18</v>
      </c>
      <c r="F1391" s="19">
        <v>100</v>
      </c>
      <c r="G1391" s="19">
        <v>100</v>
      </c>
      <c r="H1391" s="24">
        <f>IF(G1391/F1391*100&gt;100,100,G1391/F1391*100)</f>
        <v>100</v>
      </c>
      <c r="I1391" s="19"/>
      <c r="J1391" s="129" t="s">
        <v>38</v>
      </c>
      <c r="K1391" s="41" t="s">
        <v>106</v>
      </c>
      <c r="L1391" s="19" t="s">
        <v>20</v>
      </c>
      <c r="M1391" s="19">
        <v>41</v>
      </c>
      <c r="N1391" s="19">
        <v>40</v>
      </c>
      <c r="O1391" s="24">
        <f>IF(N1391/M1391*100&gt;110,110,N1391/M1391*100)</f>
        <v>97.560975609756099</v>
      </c>
      <c r="P1391" s="19"/>
      <c r="Q1391" s="35"/>
      <c r="R1391" s="19"/>
      <c r="S1391" s="557"/>
      <c r="T1391" s="2"/>
    </row>
    <row r="1392" spans="1:20" s="1" customFormat="1" x14ac:dyDescent="0.35">
      <c r="A1392" s="605"/>
      <c r="B1392" s="541"/>
      <c r="C1392" s="19" t="s">
        <v>118</v>
      </c>
      <c r="D1392" s="41" t="s">
        <v>119</v>
      </c>
      <c r="E1392" s="19" t="s">
        <v>18</v>
      </c>
      <c r="F1392" s="19">
        <v>100</v>
      </c>
      <c r="G1392" s="19">
        <v>100</v>
      </c>
      <c r="H1392" s="24">
        <f>IF(G1392/F1392*100&gt;100,100,G1392/F1392*100)</f>
        <v>100</v>
      </c>
      <c r="I1392" s="19"/>
      <c r="J1392" s="129"/>
      <c r="K1392" s="41"/>
      <c r="L1392" s="19"/>
      <c r="M1392" s="122"/>
      <c r="N1392" s="122"/>
      <c r="O1392" s="24"/>
      <c r="P1392" s="468"/>
      <c r="Q1392" s="35"/>
      <c r="R1392" s="19"/>
      <c r="S1392" s="557"/>
      <c r="T1392" s="2"/>
    </row>
    <row r="1393" spans="1:20" s="1" customFormat="1" ht="45" customHeight="1" x14ac:dyDescent="0.35">
      <c r="A1393" s="605"/>
      <c r="B1393" s="541"/>
      <c r="C1393" s="19" t="s">
        <v>120</v>
      </c>
      <c r="D1393" s="41" t="s">
        <v>108</v>
      </c>
      <c r="E1393" s="19" t="s">
        <v>18</v>
      </c>
      <c r="F1393" s="19">
        <v>100</v>
      </c>
      <c r="G1393" s="19">
        <v>100</v>
      </c>
      <c r="H1393" s="24">
        <f>IF(G1393/F1393*100&gt;100,100,G1393/F1393*100)</f>
        <v>100</v>
      </c>
      <c r="I1393" s="19"/>
      <c r="J1393" s="129"/>
      <c r="K1393" s="41"/>
      <c r="L1393" s="19"/>
      <c r="M1393" s="122"/>
      <c r="N1393" s="122"/>
      <c r="O1393" s="24"/>
      <c r="P1393" s="468"/>
      <c r="Q1393" s="35"/>
      <c r="R1393" s="19"/>
      <c r="S1393" s="557"/>
      <c r="T1393" s="2"/>
    </row>
    <row r="1394" spans="1:20" s="1" customFormat="1" ht="66.75" customHeight="1" x14ac:dyDescent="0.35">
      <c r="A1394" s="605"/>
      <c r="B1394" s="541"/>
      <c r="C1394" s="19" t="s">
        <v>121</v>
      </c>
      <c r="D1394" s="41" t="s">
        <v>17</v>
      </c>
      <c r="E1394" s="19" t="s">
        <v>18</v>
      </c>
      <c r="F1394" s="19">
        <v>90</v>
      </c>
      <c r="G1394" s="19">
        <v>100</v>
      </c>
      <c r="H1394" s="24">
        <f>IF(G1394/F1394*100&gt;100,100,G1394/F1394*100)</f>
        <v>100</v>
      </c>
      <c r="I1394" s="19"/>
      <c r="J1394" s="129"/>
      <c r="K1394" s="41"/>
      <c r="L1394" s="19"/>
      <c r="M1394" s="122"/>
      <c r="N1394" s="122"/>
      <c r="O1394" s="24"/>
      <c r="P1394" s="468"/>
      <c r="Q1394" s="35"/>
      <c r="R1394" s="19"/>
      <c r="S1394" s="557"/>
      <c r="T1394" s="2"/>
    </row>
    <row r="1395" spans="1:20" s="1" customFormat="1" ht="129" customHeight="1" x14ac:dyDescent="0.35">
      <c r="A1395" s="605"/>
      <c r="B1395" s="541"/>
      <c r="C1395" s="19" t="s">
        <v>122</v>
      </c>
      <c r="D1395" s="41" t="s">
        <v>111</v>
      </c>
      <c r="E1395" s="19" t="s">
        <v>18</v>
      </c>
      <c r="F1395" s="19">
        <v>100</v>
      </c>
      <c r="G1395" s="19">
        <v>100</v>
      </c>
      <c r="H1395" s="24">
        <f>IF(G1395/F1395*100&gt;100,100,G1395/F1395*100)</f>
        <v>100</v>
      </c>
      <c r="I1395" s="19"/>
      <c r="J1395" s="129"/>
      <c r="K1395" s="41"/>
      <c r="L1395" s="19"/>
      <c r="M1395" s="122"/>
      <c r="N1395" s="122"/>
      <c r="O1395" s="24"/>
      <c r="P1395" s="468"/>
      <c r="Q1395" s="35"/>
      <c r="R1395" s="19"/>
      <c r="S1395" s="557"/>
      <c r="T1395" s="2"/>
    </row>
    <row r="1396" spans="1:20" s="1" customFormat="1" ht="40.5" customHeight="1" x14ac:dyDescent="0.35">
      <c r="A1396" s="605"/>
      <c r="B1396" s="541"/>
      <c r="C1396" s="465"/>
      <c r="D1396" s="466" t="s">
        <v>644</v>
      </c>
      <c r="E1396" s="465"/>
      <c r="F1396" s="20"/>
      <c r="G1396" s="20"/>
      <c r="H1396" s="18"/>
      <c r="I1396" s="18">
        <f>(H1391+H1392+H1393+H1394+H1395)/5</f>
        <v>100</v>
      </c>
      <c r="J1396" s="128"/>
      <c r="K1396" s="466" t="s">
        <v>644</v>
      </c>
      <c r="L1396" s="20"/>
      <c r="M1396" s="124"/>
      <c r="N1396" s="124"/>
      <c r="O1396" s="18"/>
      <c r="P1396" s="18">
        <f>O1391</f>
        <v>97.560975609756099</v>
      </c>
      <c r="Q1396" s="18">
        <f>(I1396+P1396)/2</f>
        <v>98.780487804878049</v>
      </c>
      <c r="R1396" s="465" t="s">
        <v>112</v>
      </c>
      <c r="S1396" s="557"/>
      <c r="T1396" s="2"/>
    </row>
    <row r="1397" spans="1:20" s="1" customFormat="1" x14ac:dyDescent="0.35">
      <c r="A1397" s="605"/>
      <c r="B1397" s="541"/>
      <c r="C1397" s="454" t="s">
        <v>123</v>
      </c>
      <c r="D1397" s="59" t="s">
        <v>27</v>
      </c>
      <c r="E1397" s="19"/>
      <c r="F1397" s="19"/>
      <c r="G1397" s="19"/>
      <c r="H1397" s="35"/>
      <c r="I1397" s="35"/>
      <c r="J1397" s="454" t="s">
        <v>123</v>
      </c>
      <c r="K1397" s="59" t="s">
        <v>27</v>
      </c>
      <c r="L1397" s="19"/>
      <c r="M1397" s="122"/>
      <c r="N1397" s="122"/>
      <c r="O1397" s="35"/>
      <c r="P1397" s="468"/>
      <c r="Q1397" s="35"/>
      <c r="R1397" s="19"/>
      <c r="S1397" s="557"/>
      <c r="T1397" s="2"/>
    </row>
    <row r="1398" spans="1:20" s="1" customFormat="1" ht="48.75" customHeight="1" x14ac:dyDescent="0.35">
      <c r="A1398" s="605"/>
      <c r="B1398" s="541"/>
      <c r="C1398" s="19" t="s">
        <v>124</v>
      </c>
      <c r="D1398" s="41" t="s">
        <v>125</v>
      </c>
      <c r="E1398" s="19" t="s">
        <v>18</v>
      </c>
      <c r="F1398" s="19">
        <v>100</v>
      </c>
      <c r="G1398" s="19">
        <v>100</v>
      </c>
      <c r="H1398" s="24">
        <f>IF(G1398/F1398*100&gt;100,100,G1398/F1398*100)</f>
        <v>100</v>
      </c>
      <c r="I1398" s="19"/>
      <c r="J1398" s="129" t="s">
        <v>124</v>
      </c>
      <c r="K1398" s="41" t="s">
        <v>106</v>
      </c>
      <c r="L1398" s="19" t="s">
        <v>20</v>
      </c>
      <c r="M1398" s="19">
        <v>50</v>
      </c>
      <c r="N1398" s="19">
        <v>50</v>
      </c>
      <c r="O1398" s="24">
        <f>IF(N1398/M1398*100&gt;110,110,N1398/M1398*100)</f>
        <v>100</v>
      </c>
      <c r="P1398" s="468"/>
      <c r="Q1398" s="35"/>
      <c r="R1398" s="19"/>
      <c r="S1398" s="557"/>
      <c r="T1398" s="2"/>
    </row>
    <row r="1399" spans="1:20" s="1" customFormat="1" ht="84" customHeight="1" x14ac:dyDescent="0.35">
      <c r="A1399" s="605"/>
      <c r="B1399" s="541"/>
      <c r="C1399" s="19" t="s">
        <v>127</v>
      </c>
      <c r="D1399" s="41" t="s">
        <v>128</v>
      </c>
      <c r="E1399" s="19" t="s">
        <v>18</v>
      </c>
      <c r="F1399" s="19">
        <v>90</v>
      </c>
      <c r="G1399" s="19">
        <v>90</v>
      </c>
      <c r="H1399" s="24">
        <f>IF(G1399/F1399*100&gt;100,100,G1399/F1399*100)</f>
        <v>100</v>
      </c>
      <c r="I1399" s="19"/>
      <c r="J1399" s="129"/>
      <c r="K1399" s="41"/>
      <c r="L1399" s="19"/>
      <c r="M1399" s="122"/>
      <c r="N1399" s="122"/>
      <c r="O1399" s="24"/>
      <c r="P1399" s="468"/>
      <c r="Q1399" s="35"/>
      <c r="R1399" s="19"/>
      <c r="S1399" s="557"/>
      <c r="T1399" s="2"/>
    </row>
    <row r="1400" spans="1:20" s="1" customFormat="1" ht="40.5" customHeight="1" x14ac:dyDescent="0.35">
      <c r="A1400" s="605"/>
      <c r="B1400" s="541"/>
      <c r="C1400" s="465"/>
      <c r="D1400" s="466" t="s">
        <v>644</v>
      </c>
      <c r="E1400" s="465"/>
      <c r="F1400" s="20"/>
      <c r="G1400" s="20"/>
      <c r="H1400" s="18"/>
      <c r="I1400" s="18">
        <f>(H1398+H1399)/2</f>
        <v>100</v>
      </c>
      <c r="J1400" s="128"/>
      <c r="K1400" s="466" t="s">
        <v>644</v>
      </c>
      <c r="L1400" s="20"/>
      <c r="M1400" s="124"/>
      <c r="N1400" s="124"/>
      <c r="O1400" s="18"/>
      <c r="P1400" s="18">
        <f>O1398</f>
        <v>100</v>
      </c>
      <c r="Q1400" s="18">
        <f>(I1400+P1400)/2</f>
        <v>100</v>
      </c>
      <c r="R1400" s="465" t="s">
        <v>25</v>
      </c>
      <c r="S1400" s="557"/>
      <c r="T1400" s="2"/>
    </row>
    <row r="1401" spans="1:20" s="1" customFormat="1" ht="63.75" customHeight="1" x14ac:dyDescent="0.35">
      <c r="A1401" s="605"/>
      <c r="B1401" s="541"/>
      <c r="C1401" s="454" t="s">
        <v>129</v>
      </c>
      <c r="D1401" s="59" t="s">
        <v>130</v>
      </c>
      <c r="E1401" s="19"/>
      <c r="F1401" s="19"/>
      <c r="G1401" s="19"/>
      <c r="H1401" s="35"/>
      <c r="I1401" s="35"/>
      <c r="J1401" s="454" t="s">
        <v>129</v>
      </c>
      <c r="K1401" s="59" t="str">
        <f>D1401</f>
        <v>Реализация дополнительных общеразвивающих программ</v>
      </c>
      <c r="L1401" s="19"/>
      <c r="M1401" s="122"/>
      <c r="N1401" s="122"/>
      <c r="O1401" s="35"/>
      <c r="P1401" s="468"/>
      <c r="Q1401" s="35"/>
      <c r="R1401" s="19"/>
      <c r="S1401" s="557"/>
      <c r="T1401" s="2"/>
    </row>
    <row r="1402" spans="1:20" s="1" customFormat="1" ht="86.25" customHeight="1" x14ac:dyDescent="0.35">
      <c r="A1402" s="605"/>
      <c r="B1402" s="541"/>
      <c r="C1402" s="19" t="s">
        <v>131</v>
      </c>
      <c r="D1402" s="41" t="s">
        <v>128</v>
      </c>
      <c r="E1402" s="19" t="s">
        <v>18</v>
      </c>
      <c r="F1402" s="19">
        <v>90</v>
      </c>
      <c r="G1402" s="19">
        <v>90</v>
      </c>
      <c r="H1402" s="24">
        <f>IF(G1402/F1402*100&gt;100,100,G1402/F1402*100)</f>
        <v>100</v>
      </c>
      <c r="I1402" s="19"/>
      <c r="J1402" s="129" t="str">
        <f>C1402</f>
        <v>5.1.</v>
      </c>
      <c r="K1402" s="41" t="s">
        <v>136</v>
      </c>
      <c r="L1402" s="19" t="s">
        <v>139</v>
      </c>
      <c r="M1402" s="19">
        <v>44064</v>
      </c>
      <c r="N1402" s="19">
        <v>44064</v>
      </c>
      <c r="O1402" s="24">
        <f>IF(N1402/M1402*100&gt;110,110,N1402/M1402*100)</f>
        <v>100</v>
      </c>
      <c r="P1402" s="468"/>
      <c r="Q1402" s="35"/>
      <c r="R1402" s="19"/>
      <c r="S1402" s="557"/>
      <c r="T1402" s="2"/>
    </row>
    <row r="1403" spans="1:20" s="1" customFormat="1" ht="39" customHeight="1" x14ac:dyDescent="0.35">
      <c r="A1403" s="605"/>
      <c r="B1403" s="541"/>
      <c r="C1403" s="465"/>
      <c r="D1403" s="466" t="s">
        <v>644</v>
      </c>
      <c r="E1403" s="465"/>
      <c r="F1403" s="20"/>
      <c r="G1403" s="20"/>
      <c r="H1403" s="18"/>
      <c r="I1403" s="18">
        <f>H1402</f>
        <v>100</v>
      </c>
      <c r="J1403" s="128"/>
      <c r="K1403" s="466" t="s">
        <v>644</v>
      </c>
      <c r="L1403" s="20"/>
      <c r="M1403" s="124"/>
      <c r="N1403" s="124"/>
      <c r="O1403" s="18"/>
      <c r="P1403" s="18">
        <f>O1402</f>
        <v>100</v>
      </c>
      <c r="Q1403" s="18">
        <f>(I1403+P1403)/2</f>
        <v>100</v>
      </c>
      <c r="R1403" s="465" t="s">
        <v>25</v>
      </c>
      <c r="S1403" s="557"/>
      <c r="T1403" s="2"/>
    </row>
    <row r="1404" spans="1:20" s="1" customFormat="1" ht="76.5" customHeight="1" x14ac:dyDescent="0.35">
      <c r="A1404" s="605">
        <v>65</v>
      </c>
      <c r="B1404" s="541" t="s">
        <v>198</v>
      </c>
      <c r="C1404" s="454" t="s">
        <v>13</v>
      </c>
      <c r="D1404" s="59" t="s">
        <v>103</v>
      </c>
      <c r="E1404" s="454"/>
      <c r="F1404" s="454"/>
      <c r="G1404" s="454"/>
      <c r="H1404" s="35"/>
      <c r="I1404" s="35"/>
      <c r="J1404" s="454" t="s">
        <v>13</v>
      </c>
      <c r="K1404" s="59" t="s">
        <v>103</v>
      </c>
      <c r="L1404" s="19"/>
      <c r="M1404" s="19"/>
      <c r="N1404" s="19"/>
      <c r="O1404" s="35"/>
      <c r="P1404" s="468"/>
      <c r="Q1404" s="35"/>
      <c r="R1404" s="19"/>
      <c r="S1404" s="557" t="s">
        <v>15</v>
      </c>
      <c r="T1404" s="2"/>
    </row>
    <row r="1405" spans="1:20" s="1" customFormat="1" ht="76.5" customHeight="1" x14ac:dyDescent="0.35">
      <c r="A1405" s="605"/>
      <c r="B1405" s="541"/>
      <c r="C1405" s="19" t="s">
        <v>16</v>
      </c>
      <c r="D1405" s="41" t="s">
        <v>105</v>
      </c>
      <c r="E1405" s="19" t="s">
        <v>18</v>
      </c>
      <c r="F1405" s="19">
        <v>100</v>
      </c>
      <c r="G1405" s="19">
        <v>100</v>
      </c>
      <c r="H1405" s="24">
        <f>IF(G1405/F1405*100&gt;100,100,G1405/F1405*100)</f>
        <v>100</v>
      </c>
      <c r="I1405" s="19"/>
      <c r="J1405" s="19" t="s">
        <v>16</v>
      </c>
      <c r="K1405" s="41" t="s">
        <v>106</v>
      </c>
      <c r="L1405" s="19" t="s">
        <v>20</v>
      </c>
      <c r="M1405" s="19">
        <v>243</v>
      </c>
      <c r="N1405" s="19">
        <v>243</v>
      </c>
      <c r="O1405" s="24">
        <f>IF(N1405/M1405*100&gt;110,110,N1405/M1405*100)</f>
        <v>100</v>
      </c>
      <c r="P1405" s="468"/>
      <c r="Q1405" s="35"/>
      <c r="R1405" s="19"/>
      <c r="S1405" s="557"/>
      <c r="T1405" s="2"/>
    </row>
    <row r="1406" spans="1:20" s="1" customFormat="1" ht="45" customHeight="1" x14ac:dyDescent="0.35">
      <c r="A1406" s="605"/>
      <c r="B1406" s="541"/>
      <c r="C1406" s="19" t="s">
        <v>21</v>
      </c>
      <c r="D1406" s="41" t="s">
        <v>135</v>
      </c>
      <c r="E1406" s="19" t="s">
        <v>18</v>
      </c>
      <c r="F1406" s="19">
        <v>100</v>
      </c>
      <c r="G1406" s="19">
        <v>100</v>
      </c>
      <c r="H1406" s="24">
        <f>IF(G1406/F1406*100&gt;100,100,G1406/F1406*100)</f>
        <v>100</v>
      </c>
      <c r="I1406" s="19"/>
      <c r="J1406" s="19"/>
      <c r="K1406" s="455"/>
      <c r="L1406" s="19"/>
      <c r="M1406" s="476"/>
      <c r="N1406" s="476"/>
      <c r="O1406" s="24"/>
      <c r="P1406" s="468"/>
      <c r="Q1406" s="35"/>
      <c r="R1406" s="19"/>
      <c r="S1406" s="557"/>
      <c r="T1406" s="2"/>
    </row>
    <row r="1407" spans="1:20" s="1" customFormat="1" ht="45" customHeight="1" x14ac:dyDescent="0.35">
      <c r="A1407" s="605"/>
      <c r="B1407" s="541"/>
      <c r="C1407" s="19" t="s">
        <v>23</v>
      </c>
      <c r="D1407" s="41" t="s">
        <v>108</v>
      </c>
      <c r="E1407" s="19" t="s">
        <v>18</v>
      </c>
      <c r="F1407" s="19">
        <v>100</v>
      </c>
      <c r="G1407" s="19">
        <v>100</v>
      </c>
      <c r="H1407" s="24">
        <f>IF(G1407/F1407*100&gt;100,100,G1407/F1407*100)</f>
        <v>100</v>
      </c>
      <c r="I1407" s="19"/>
      <c r="J1407" s="129"/>
      <c r="K1407" s="41"/>
      <c r="L1407" s="19"/>
      <c r="M1407" s="122"/>
      <c r="N1407" s="122"/>
      <c r="O1407" s="24"/>
      <c r="P1407" s="468"/>
      <c r="Q1407" s="35"/>
      <c r="R1407" s="19"/>
      <c r="S1407" s="557"/>
      <c r="T1407" s="2"/>
    </row>
    <row r="1408" spans="1:20" s="1" customFormat="1" ht="63.75" customHeight="1" x14ac:dyDescent="0.35">
      <c r="A1408" s="605"/>
      <c r="B1408" s="541"/>
      <c r="C1408" s="19" t="s">
        <v>109</v>
      </c>
      <c r="D1408" s="41" t="s">
        <v>157</v>
      </c>
      <c r="E1408" s="19" t="s">
        <v>18</v>
      </c>
      <c r="F1408" s="19">
        <v>90</v>
      </c>
      <c r="G1408" s="19">
        <v>100</v>
      </c>
      <c r="H1408" s="24">
        <f>IF(G1408/F1408*100&gt;100,100,G1408/F1408*100)</f>
        <v>100</v>
      </c>
      <c r="I1408" s="19"/>
      <c r="J1408" s="129"/>
      <c r="K1408" s="41"/>
      <c r="L1408" s="19"/>
      <c r="M1408" s="122"/>
      <c r="N1408" s="122"/>
      <c r="O1408" s="24"/>
      <c r="P1408" s="468"/>
      <c r="Q1408" s="35"/>
      <c r="R1408" s="19"/>
      <c r="S1408" s="557"/>
      <c r="T1408" s="2"/>
    </row>
    <row r="1409" spans="1:20" s="1" customFormat="1" ht="124.5" customHeight="1" x14ac:dyDescent="0.35">
      <c r="A1409" s="605"/>
      <c r="B1409" s="541"/>
      <c r="C1409" s="19" t="s">
        <v>110</v>
      </c>
      <c r="D1409" s="41" t="s">
        <v>111</v>
      </c>
      <c r="E1409" s="19" t="s">
        <v>18</v>
      </c>
      <c r="F1409" s="19">
        <v>100</v>
      </c>
      <c r="G1409" s="19">
        <v>100</v>
      </c>
      <c r="H1409" s="24">
        <f>IF(G1409/F1409*100&gt;100,100,G1409/F1409*100)</f>
        <v>100</v>
      </c>
      <c r="I1409" s="19"/>
      <c r="J1409" s="129"/>
      <c r="K1409" s="41"/>
      <c r="L1409" s="19"/>
      <c r="M1409" s="122"/>
      <c r="N1409" s="122"/>
      <c r="O1409" s="24"/>
      <c r="P1409" s="468"/>
      <c r="Q1409" s="35"/>
      <c r="R1409" s="19"/>
      <c r="S1409" s="557"/>
      <c r="T1409" s="2"/>
    </row>
    <row r="1410" spans="1:20" s="1" customFormat="1" ht="40.5" customHeight="1" x14ac:dyDescent="0.35">
      <c r="A1410" s="605"/>
      <c r="B1410" s="541"/>
      <c r="C1410" s="465"/>
      <c r="D1410" s="466" t="s">
        <v>644</v>
      </c>
      <c r="E1410" s="465"/>
      <c r="F1410" s="20"/>
      <c r="G1410" s="20"/>
      <c r="H1410" s="18"/>
      <c r="I1410" s="18">
        <f>(H1405+H1406+H1407+H1408+H1409)/5</f>
        <v>100</v>
      </c>
      <c r="J1410" s="128"/>
      <c r="K1410" s="466" t="s">
        <v>644</v>
      </c>
      <c r="L1410" s="20"/>
      <c r="M1410" s="124"/>
      <c r="N1410" s="124"/>
      <c r="O1410" s="18"/>
      <c r="P1410" s="18">
        <f>O1405</f>
        <v>100</v>
      </c>
      <c r="Q1410" s="18">
        <f>(I1410+P1410)/2</f>
        <v>100</v>
      </c>
      <c r="R1410" s="465" t="s">
        <v>25</v>
      </c>
      <c r="S1410" s="557"/>
      <c r="T1410" s="2"/>
    </row>
    <row r="1411" spans="1:20" s="1" customFormat="1" ht="97.5" customHeight="1" x14ac:dyDescent="0.35">
      <c r="A1411" s="605"/>
      <c r="B1411" s="541"/>
      <c r="C1411" s="454" t="s">
        <v>26</v>
      </c>
      <c r="D1411" s="59" t="s">
        <v>113</v>
      </c>
      <c r="E1411" s="19"/>
      <c r="F1411" s="19"/>
      <c r="G1411" s="19"/>
      <c r="H1411" s="35"/>
      <c r="I1411" s="35"/>
      <c r="J1411" s="454" t="s">
        <v>26</v>
      </c>
      <c r="K1411" s="59" t="s">
        <v>113</v>
      </c>
      <c r="L1411" s="19"/>
      <c r="M1411" s="122"/>
      <c r="N1411" s="122"/>
      <c r="O1411" s="35"/>
      <c r="P1411" s="468"/>
      <c r="Q1411" s="35"/>
      <c r="R1411" s="19"/>
      <c r="S1411" s="557"/>
      <c r="T1411" s="2"/>
    </row>
    <row r="1412" spans="1:20" s="1" customFormat="1" ht="65.25" customHeight="1" x14ac:dyDescent="0.35">
      <c r="A1412" s="605"/>
      <c r="B1412" s="541"/>
      <c r="C1412" s="19" t="s">
        <v>28</v>
      </c>
      <c r="D1412" s="41" t="s">
        <v>114</v>
      </c>
      <c r="E1412" s="19" t="s">
        <v>18</v>
      </c>
      <c r="F1412" s="19">
        <v>100</v>
      </c>
      <c r="G1412" s="19">
        <v>100</v>
      </c>
      <c r="H1412" s="24">
        <f>IF(G1412/F1412*100&gt;100,100,G1412/F1412*100)</f>
        <v>100</v>
      </c>
      <c r="I1412" s="19"/>
      <c r="J1412" s="129" t="s">
        <v>28</v>
      </c>
      <c r="K1412" s="41" t="s">
        <v>106</v>
      </c>
      <c r="L1412" s="19" t="s">
        <v>20</v>
      </c>
      <c r="M1412" s="19">
        <v>263</v>
      </c>
      <c r="N1412" s="19">
        <v>278</v>
      </c>
      <c r="O1412" s="24">
        <f>IF(N1412/M1412*100&gt;110,110,N1412/M1412*100)</f>
        <v>105.70342205323193</v>
      </c>
      <c r="P1412" s="19"/>
      <c r="Q1412" s="35"/>
      <c r="R1412" s="19"/>
      <c r="S1412" s="557"/>
      <c r="T1412" s="2"/>
    </row>
    <row r="1413" spans="1:20" s="1" customFormat="1" ht="45" customHeight="1" x14ac:dyDescent="0.35">
      <c r="A1413" s="605"/>
      <c r="B1413" s="541"/>
      <c r="C1413" s="19" t="s">
        <v>30</v>
      </c>
      <c r="D1413" s="41" t="s">
        <v>115</v>
      </c>
      <c r="E1413" s="19" t="s">
        <v>18</v>
      </c>
      <c r="F1413" s="19">
        <v>100</v>
      </c>
      <c r="G1413" s="19">
        <v>100</v>
      </c>
      <c r="H1413" s="24">
        <f>IF(G1413/F1413*100&gt;100,100,G1413/F1413*100)</f>
        <v>100</v>
      </c>
      <c r="I1413" s="19"/>
      <c r="J1413" s="129"/>
      <c r="K1413" s="41"/>
      <c r="L1413" s="19"/>
      <c r="M1413" s="122"/>
      <c r="N1413" s="122"/>
      <c r="O1413" s="24"/>
      <c r="P1413" s="468"/>
      <c r="Q1413" s="35"/>
      <c r="R1413" s="19"/>
      <c r="S1413" s="557"/>
      <c r="T1413" s="2"/>
    </row>
    <row r="1414" spans="1:20" s="1" customFormat="1" ht="45.75" customHeight="1" x14ac:dyDescent="0.35">
      <c r="A1414" s="605"/>
      <c r="B1414" s="541"/>
      <c r="C1414" s="19" t="s">
        <v>34</v>
      </c>
      <c r="D1414" s="41" t="s">
        <v>108</v>
      </c>
      <c r="E1414" s="19" t="s">
        <v>18</v>
      </c>
      <c r="F1414" s="19">
        <v>100</v>
      </c>
      <c r="G1414" s="19">
        <v>100</v>
      </c>
      <c r="H1414" s="24">
        <f>IF(G1414/F1414*100&gt;100,100,G1414/F1414*100)</f>
        <v>100</v>
      </c>
      <c r="I1414" s="19"/>
      <c r="J1414" s="129"/>
      <c r="K1414" s="41"/>
      <c r="L1414" s="19"/>
      <c r="M1414" s="122"/>
      <c r="N1414" s="122"/>
      <c r="O1414" s="24"/>
      <c r="P1414" s="468"/>
      <c r="Q1414" s="35"/>
      <c r="R1414" s="19"/>
      <c r="S1414" s="557"/>
      <c r="T1414" s="2"/>
    </row>
    <row r="1415" spans="1:20" s="1" customFormat="1" ht="73.5" customHeight="1" x14ac:dyDescent="0.35">
      <c r="A1415" s="605"/>
      <c r="B1415" s="541"/>
      <c r="C1415" s="19" t="s">
        <v>78</v>
      </c>
      <c r="D1415" s="41" t="s">
        <v>17</v>
      </c>
      <c r="E1415" s="19" t="s">
        <v>18</v>
      </c>
      <c r="F1415" s="19">
        <v>90</v>
      </c>
      <c r="G1415" s="19">
        <v>100</v>
      </c>
      <c r="H1415" s="24">
        <f>IF(G1415/F1415*100&gt;100,100,G1415/F1415*100)</f>
        <v>100</v>
      </c>
      <c r="I1415" s="19"/>
      <c r="J1415" s="129"/>
      <c r="K1415" s="41"/>
      <c r="L1415" s="19"/>
      <c r="M1415" s="122"/>
      <c r="N1415" s="122"/>
      <c r="O1415" s="24"/>
      <c r="P1415" s="468"/>
      <c r="Q1415" s="35"/>
      <c r="R1415" s="19"/>
      <c r="S1415" s="557"/>
      <c r="T1415" s="2"/>
    </row>
    <row r="1416" spans="1:20" s="1" customFormat="1" ht="125.25" customHeight="1" x14ac:dyDescent="0.35">
      <c r="A1416" s="605"/>
      <c r="B1416" s="541"/>
      <c r="C1416" s="19" t="s">
        <v>79</v>
      </c>
      <c r="D1416" s="41" t="s">
        <v>111</v>
      </c>
      <c r="E1416" s="19" t="s">
        <v>18</v>
      </c>
      <c r="F1416" s="19">
        <v>100</v>
      </c>
      <c r="G1416" s="19">
        <v>100</v>
      </c>
      <c r="H1416" s="24">
        <f>IF(G1416/F1416*100&gt;100,100,G1416/F1416*100)</f>
        <v>100</v>
      </c>
      <c r="I1416" s="19"/>
      <c r="J1416" s="129"/>
      <c r="K1416" s="41"/>
      <c r="L1416" s="19"/>
      <c r="M1416" s="122"/>
      <c r="N1416" s="122"/>
      <c r="O1416" s="24"/>
      <c r="P1416" s="468"/>
      <c r="Q1416" s="35"/>
      <c r="R1416" s="19"/>
      <c r="S1416" s="557"/>
      <c r="T1416" s="2"/>
    </row>
    <row r="1417" spans="1:20" s="1" customFormat="1" ht="40.5" customHeight="1" x14ac:dyDescent="0.35">
      <c r="A1417" s="605"/>
      <c r="B1417" s="541"/>
      <c r="C1417" s="465"/>
      <c r="D1417" s="466" t="s">
        <v>644</v>
      </c>
      <c r="E1417" s="465"/>
      <c r="F1417" s="20"/>
      <c r="G1417" s="20"/>
      <c r="H1417" s="18"/>
      <c r="I1417" s="18">
        <f>(H1412+H1413+H1414+H1415+H1416)/5</f>
        <v>100</v>
      </c>
      <c r="J1417" s="128"/>
      <c r="K1417" s="466" t="s">
        <v>644</v>
      </c>
      <c r="L1417" s="20"/>
      <c r="M1417" s="124"/>
      <c r="N1417" s="124"/>
      <c r="O1417" s="18"/>
      <c r="P1417" s="18">
        <f>O1412</f>
        <v>105.70342205323193</v>
      </c>
      <c r="Q1417" s="18">
        <f>(I1417+P1417)/2</f>
        <v>102.85171102661596</v>
      </c>
      <c r="R1417" s="465" t="s">
        <v>25</v>
      </c>
      <c r="S1417" s="557"/>
      <c r="T1417" s="2"/>
    </row>
    <row r="1418" spans="1:20" s="1" customFormat="1" ht="75" customHeight="1" x14ac:dyDescent="0.35">
      <c r="A1418" s="605"/>
      <c r="B1418" s="541"/>
      <c r="C1418" s="454" t="s">
        <v>36</v>
      </c>
      <c r="D1418" s="59" t="s">
        <v>116</v>
      </c>
      <c r="E1418" s="19"/>
      <c r="F1418" s="19"/>
      <c r="G1418" s="19"/>
      <c r="H1418" s="35"/>
      <c r="I1418" s="35"/>
      <c r="J1418" s="454" t="s">
        <v>36</v>
      </c>
      <c r="K1418" s="59" t="str">
        <f>D1418</f>
        <v>Реализация основных общеобразовательных программ среднего общего образования</v>
      </c>
      <c r="L1418" s="19"/>
      <c r="M1418" s="122"/>
      <c r="N1418" s="122"/>
      <c r="O1418" s="35"/>
      <c r="P1418" s="468"/>
      <c r="Q1418" s="35"/>
      <c r="R1418" s="19"/>
      <c r="S1418" s="557"/>
      <c r="T1418" s="2"/>
    </row>
    <row r="1419" spans="1:20" s="1" customFormat="1" ht="71.25" customHeight="1" x14ac:dyDescent="0.35">
      <c r="A1419" s="605"/>
      <c r="B1419" s="541"/>
      <c r="C1419" s="19" t="s">
        <v>38</v>
      </c>
      <c r="D1419" s="41" t="s">
        <v>117</v>
      </c>
      <c r="E1419" s="19" t="s">
        <v>18</v>
      </c>
      <c r="F1419" s="19">
        <v>100</v>
      </c>
      <c r="G1419" s="19">
        <v>100</v>
      </c>
      <c r="H1419" s="24">
        <f>IF(G1419/F1419*100&gt;100,100,G1419/F1419*100)</f>
        <v>100</v>
      </c>
      <c r="I1419" s="19"/>
      <c r="J1419" s="129" t="s">
        <v>38</v>
      </c>
      <c r="K1419" s="41" t="s">
        <v>106</v>
      </c>
      <c r="L1419" s="19" t="s">
        <v>20</v>
      </c>
      <c r="M1419" s="19">
        <v>43</v>
      </c>
      <c r="N1419" s="19">
        <v>44</v>
      </c>
      <c r="O1419" s="24">
        <f>IF(N1419/M1419*100&gt;110,110,N1419/M1419*100)</f>
        <v>102.32558139534885</v>
      </c>
      <c r="P1419" s="19"/>
      <c r="Q1419" s="35"/>
      <c r="R1419" s="19"/>
      <c r="S1419" s="557"/>
      <c r="T1419" s="2"/>
    </row>
    <row r="1420" spans="1:20" s="1" customFormat="1" ht="45" customHeight="1" x14ac:dyDescent="0.35">
      <c r="A1420" s="605"/>
      <c r="B1420" s="541"/>
      <c r="C1420" s="19" t="s">
        <v>118</v>
      </c>
      <c r="D1420" s="41" t="s">
        <v>119</v>
      </c>
      <c r="E1420" s="19" t="s">
        <v>18</v>
      </c>
      <c r="F1420" s="19">
        <v>100</v>
      </c>
      <c r="G1420" s="19">
        <v>100</v>
      </c>
      <c r="H1420" s="24">
        <f>IF(G1420/F1420*100&gt;100,100,G1420/F1420*100)</f>
        <v>100</v>
      </c>
      <c r="I1420" s="19"/>
      <c r="J1420" s="129"/>
      <c r="K1420" s="41"/>
      <c r="L1420" s="19"/>
      <c r="M1420" s="122"/>
      <c r="N1420" s="122"/>
      <c r="O1420" s="24"/>
      <c r="P1420" s="468"/>
      <c r="Q1420" s="35"/>
      <c r="R1420" s="19"/>
      <c r="S1420" s="557"/>
      <c r="T1420" s="2"/>
    </row>
    <row r="1421" spans="1:20" s="1" customFormat="1" ht="45.75" customHeight="1" x14ac:dyDescent="0.35">
      <c r="A1421" s="605"/>
      <c r="B1421" s="541"/>
      <c r="C1421" s="19" t="s">
        <v>120</v>
      </c>
      <c r="D1421" s="41" t="s">
        <v>108</v>
      </c>
      <c r="E1421" s="19" t="s">
        <v>18</v>
      </c>
      <c r="F1421" s="19">
        <v>100</v>
      </c>
      <c r="G1421" s="19">
        <v>100</v>
      </c>
      <c r="H1421" s="24">
        <f>IF(G1421/F1421*100&gt;100,100,G1421/F1421*100)</f>
        <v>100</v>
      </c>
      <c r="I1421" s="19"/>
      <c r="J1421" s="129"/>
      <c r="K1421" s="41"/>
      <c r="L1421" s="19"/>
      <c r="M1421" s="122"/>
      <c r="N1421" s="122"/>
      <c r="O1421" s="24"/>
      <c r="P1421" s="468"/>
      <c r="Q1421" s="35"/>
      <c r="R1421" s="19"/>
      <c r="S1421" s="557"/>
      <c r="T1421" s="2"/>
    </row>
    <row r="1422" spans="1:20" s="1" customFormat="1" ht="71.25" customHeight="1" x14ac:dyDescent="0.35">
      <c r="A1422" s="605"/>
      <c r="B1422" s="541"/>
      <c r="C1422" s="19" t="s">
        <v>121</v>
      </c>
      <c r="D1422" s="41" t="s">
        <v>17</v>
      </c>
      <c r="E1422" s="19" t="s">
        <v>18</v>
      </c>
      <c r="F1422" s="19">
        <v>90</v>
      </c>
      <c r="G1422" s="19">
        <v>100</v>
      </c>
      <c r="H1422" s="24">
        <f>IF(G1422/F1422*100&gt;100,100,G1422/F1422*100)</f>
        <v>100</v>
      </c>
      <c r="I1422" s="19"/>
      <c r="J1422" s="129"/>
      <c r="K1422" s="41"/>
      <c r="L1422" s="19"/>
      <c r="M1422" s="122"/>
      <c r="N1422" s="122"/>
      <c r="O1422" s="24"/>
      <c r="P1422" s="468"/>
      <c r="Q1422" s="35"/>
      <c r="R1422" s="19"/>
      <c r="S1422" s="557"/>
      <c r="T1422" s="2"/>
    </row>
    <row r="1423" spans="1:20" s="1" customFormat="1" ht="123.75" customHeight="1" x14ac:dyDescent="0.35">
      <c r="A1423" s="605"/>
      <c r="B1423" s="541"/>
      <c r="C1423" s="19" t="s">
        <v>122</v>
      </c>
      <c r="D1423" s="41" t="s">
        <v>111</v>
      </c>
      <c r="E1423" s="19" t="s">
        <v>18</v>
      </c>
      <c r="F1423" s="19">
        <v>100</v>
      </c>
      <c r="G1423" s="19">
        <v>100</v>
      </c>
      <c r="H1423" s="24">
        <f>IF(G1423/F1423*100&gt;100,100,G1423/F1423*100)</f>
        <v>100</v>
      </c>
      <c r="I1423" s="19"/>
      <c r="J1423" s="129"/>
      <c r="K1423" s="41"/>
      <c r="L1423" s="19"/>
      <c r="M1423" s="122"/>
      <c r="N1423" s="122"/>
      <c r="O1423" s="24"/>
      <c r="P1423" s="468"/>
      <c r="Q1423" s="35"/>
      <c r="R1423" s="19"/>
      <c r="S1423" s="557"/>
      <c r="T1423" s="2"/>
    </row>
    <row r="1424" spans="1:20" s="1" customFormat="1" ht="44.25" customHeight="1" x14ac:dyDescent="0.35">
      <c r="A1424" s="605"/>
      <c r="B1424" s="541"/>
      <c r="C1424" s="465"/>
      <c r="D1424" s="466" t="s">
        <v>644</v>
      </c>
      <c r="E1424" s="465"/>
      <c r="F1424" s="20"/>
      <c r="G1424" s="20"/>
      <c r="H1424" s="18"/>
      <c r="I1424" s="18">
        <f>(H1419+H1420+H1421+H1422+H1423)/5</f>
        <v>100</v>
      </c>
      <c r="J1424" s="128"/>
      <c r="K1424" s="466" t="s">
        <v>644</v>
      </c>
      <c r="L1424" s="20"/>
      <c r="M1424" s="124"/>
      <c r="N1424" s="124"/>
      <c r="O1424" s="18"/>
      <c r="P1424" s="18">
        <f>O1419</f>
        <v>102.32558139534885</v>
      </c>
      <c r="Q1424" s="18">
        <f>(I1424+P1424)/2</f>
        <v>101.16279069767442</v>
      </c>
      <c r="R1424" s="465" t="s">
        <v>25</v>
      </c>
      <c r="S1424" s="557"/>
      <c r="T1424" s="2"/>
    </row>
    <row r="1425" spans="1:20" s="1" customFormat="1" ht="45" customHeight="1" x14ac:dyDescent="0.35">
      <c r="A1425" s="605"/>
      <c r="B1425" s="541"/>
      <c r="C1425" s="454" t="s">
        <v>123</v>
      </c>
      <c r="D1425" s="59" t="s">
        <v>27</v>
      </c>
      <c r="E1425" s="19"/>
      <c r="F1425" s="19"/>
      <c r="G1425" s="19"/>
      <c r="H1425" s="35"/>
      <c r="I1425" s="35"/>
      <c r="J1425" s="454" t="s">
        <v>123</v>
      </c>
      <c r="K1425" s="59" t="s">
        <v>27</v>
      </c>
      <c r="L1425" s="19"/>
      <c r="M1425" s="122"/>
      <c r="N1425" s="122"/>
      <c r="O1425" s="35"/>
      <c r="P1425" s="468"/>
      <c r="Q1425" s="35"/>
      <c r="R1425" s="19"/>
      <c r="S1425" s="557"/>
      <c r="T1425" s="2"/>
    </row>
    <row r="1426" spans="1:20" s="1" customFormat="1" ht="60.75" customHeight="1" x14ac:dyDescent="0.35">
      <c r="A1426" s="605"/>
      <c r="B1426" s="541"/>
      <c r="C1426" s="19" t="s">
        <v>124</v>
      </c>
      <c r="D1426" s="41" t="s">
        <v>125</v>
      </c>
      <c r="E1426" s="19" t="s">
        <v>18</v>
      </c>
      <c r="F1426" s="19">
        <v>100</v>
      </c>
      <c r="G1426" s="19">
        <v>100</v>
      </c>
      <c r="H1426" s="24">
        <f>IF(G1426/F1426*100&gt;100,100,G1426/F1426*100)</f>
        <v>100</v>
      </c>
      <c r="I1426" s="19"/>
      <c r="J1426" s="129" t="s">
        <v>124</v>
      </c>
      <c r="K1426" s="41" t="s">
        <v>106</v>
      </c>
      <c r="L1426" s="19" t="s">
        <v>20</v>
      </c>
      <c r="M1426" s="19">
        <v>52</v>
      </c>
      <c r="N1426" s="19">
        <v>52</v>
      </c>
      <c r="O1426" s="24">
        <f>IF(N1426/M1426*100&gt;110,110,N1426/M1426*100)</f>
        <v>100</v>
      </c>
      <c r="P1426" s="468"/>
      <c r="Q1426" s="35"/>
      <c r="R1426" s="19"/>
      <c r="S1426" s="557"/>
      <c r="T1426" s="2"/>
    </row>
    <row r="1427" spans="1:20" s="1" customFormat="1" ht="84" customHeight="1" x14ac:dyDescent="0.35">
      <c r="A1427" s="605"/>
      <c r="B1427" s="541"/>
      <c r="C1427" s="19" t="s">
        <v>127</v>
      </c>
      <c r="D1427" s="41" t="s">
        <v>128</v>
      </c>
      <c r="E1427" s="19" t="s">
        <v>18</v>
      </c>
      <c r="F1427" s="19">
        <v>90</v>
      </c>
      <c r="G1427" s="19">
        <v>90</v>
      </c>
      <c r="H1427" s="24">
        <f>IF(G1427/F1427*100&gt;100,100,G1427/F1427*100)</f>
        <v>100</v>
      </c>
      <c r="I1427" s="19"/>
      <c r="J1427" s="129"/>
      <c r="K1427" s="41"/>
      <c r="L1427" s="19"/>
      <c r="M1427" s="122"/>
      <c r="N1427" s="122"/>
      <c r="O1427" s="24"/>
      <c r="P1427" s="468"/>
      <c r="Q1427" s="35"/>
      <c r="R1427" s="19"/>
      <c r="S1427" s="557"/>
      <c r="T1427" s="2"/>
    </row>
    <row r="1428" spans="1:20" s="1" customFormat="1" ht="40.5" customHeight="1" x14ac:dyDescent="0.35">
      <c r="A1428" s="605"/>
      <c r="B1428" s="541"/>
      <c r="C1428" s="465"/>
      <c r="D1428" s="466" t="s">
        <v>644</v>
      </c>
      <c r="E1428" s="465"/>
      <c r="F1428" s="20"/>
      <c r="G1428" s="20"/>
      <c r="H1428" s="18"/>
      <c r="I1428" s="18">
        <f>(H1426+H1427)/2</f>
        <v>100</v>
      </c>
      <c r="J1428" s="128"/>
      <c r="K1428" s="466" t="s">
        <v>644</v>
      </c>
      <c r="L1428" s="20"/>
      <c r="M1428" s="124"/>
      <c r="N1428" s="124"/>
      <c r="O1428" s="18"/>
      <c r="P1428" s="18">
        <f>O1426</f>
        <v>100</v>
      </c>
      <c r="Q1428" s="18">
        <f>(I1428+P1428)/2</f>
        <v>100</v>
      </c>
      <c r="R1428" s="465" t="s">
        <v>25</v>
      </c>
      <c r="S1428" s="557"/>
      <c r="T1428" s="2"/>
    </row>
    <row r="1429" spans="1:20" s="1" customFormat="1" ht="56.25" customHeight="1" x14ac:dyDescent="0.35">
      <c r="A1429" s="605"/>
      <c r="B1429" s="541"/>
      <c r="C1429" s="454" t="s">
        <v>129</v>
      </c>
      <c r="D1429" s="59" t="s">
        <v>130</v>
      </c>
      <c r="E1429" s="19"/>
      <c r="F1429" s="19"/>
      <c r="G1429" s="19"/>
      <c r="H1429" s="35"/>
      <c r="I1429" s="35"/>
      <c r="J1429" s="454" t="s">
        <v>129</v>
      </c>
      <c r="K1429" s="59" t="str">
        <f>D1429</f>
        <v>Реализация дополнительных общеразвивающих программ</v>
      </c>
      <c r="L1429" s="19"/>
      <c r="M1429" s="122"/>
      <c r="N1429" s="122"/>
      <c r="O1429" s="35"/>
      <c r="P1429" s="468"/>
      <c r="Q1429" s="35"/>
      <c r="R1429" s="19"/>
      <c r="S1429" s="557"/>
      <c r="T1429" s="2"/>
    </row>
    <row r="1430" spans="1:20" s="1" customFormat="1" ht="90.75" customHeight="1" x14ac:dyDescent="0.35">
      <c r="A1430" s="605"/>
      <c r="B1430" s="541"/>
      <c r="C1430" s="19" t="s">
        <v>131</v>
      </c>
      <c r="D1430" s="41" t="s">
        <v>128</v>
      </c>
      <c r="E1430" s="19" t="s">
        <v>18</v>
      </c>
      <c r="F1430" s="19">
        <v>90</v>
      </c>
      <c r="G1430" s="19">
        <v>90</v>
      </c>
      <c r="H1430" s="24">
        <f>IF(G1430/F1430*100&gt;100,100,G1430/F1430*100)</f>
        <v>100</v>
      </c>
      <c r="I1430" s="19"/>
      <c r="J1430" s="129" t="str">
        <f>C1430</f>
        <v>5.1.</v>
      </c>
      <c r="K1430" s="41" t="s">
        <v>136</v>
      </c>
      <c r="L1430" s="19" t="s">
        <v>139</v>
      </c>
      <c r="M1430" s="19">
        <v>36720</v>
      </c>
      <c r="N1430" s="19">
        <v>40015</v>
      </c>
      <c r="O1430" s="24">
        <f>IF(N1430/M1430*100&gt;110,110,N1430/M1430*100)</f>
        <v>108.97331154684096</v>
      </c>
      <c r="P1430" s="468"/>
      <c r="Q1430" s="35"/>
      <c r="R1430" s="19"/>
      <c r="S1430" s="557"/>
      <c r="T1430" s="2"/>
    </row>
    <row r="1431" spans="1:20" s="1" customFormat="1" ht="39" customHeight="1" x14ac:dyDescent="0.35">
      <c r="A1431" s="605"/>
      <c r="B1431" s="541"/>
      <c r="C1431" s="465"/>
      <c r="D1431" s="466" t="s">
        <v>644</v>
      </c>
      <c r="E1431" s="465"/>
      <c r="F1431" s="20"/>
      <c r="G1431" s="20"/>
      <c r="H1431" s="18"/>
      <c r="I1431" s="18">
        <f>H1430</f>
        <v>100</v>
      </c>
      <c r="J1431" s="128"/>
      <c r="K1431" s="466" t="s">
        <v>644</v>
      </c>
      <c r="L1431" s="20"/>
      <c r="M1431" s="124"/>
      <c r="N1431" s="124"/>
      <c r="O1431" s="18"/>
      <c r="P1431" s="18">
        <f>O1430</f>
        <v>108.97331154684096</v>
      </c>
      <c r="Q1431" s="18">
        <f>(I1431+P1431)/2</f>
        <v>104.48665577342048</v>
      </c>
      <c r="R1431" s="465" t="s">
        <v>25</v>
      </c>
      <c r="S1431" s="557"/>
      <c r="T1431" s="2"/>
    </row>
    <row r="1432" spans="1:20" s="1" customFormat="1" ht="69.75" customHeight="1" x14ac:dyDescent="0.35">
      <c r="A1432" s="605">
        <v>66</v>
      </c>
      <c r="B1432" s="541" t="s">
        <v>199</v>
      </c>
      <c r="C1432" s="454" t="s">
        <v>13</v>
      </c>
      <c r="D1432" s="59" t="s">
        <v>103</v>
      </c>
      <c r="E1432" s="454"/>
      <c r="F1432" s="454"/>
      <c r="G1432" s="454"/>
      <c r="H1432" s="35"/>
      <c r="I1432" s="35"/>
      <c r="J1432" s="454" t="s">
        <v>13</v>
      </c>
      <c r="K1432" s="59" t="s">
        <v>103</v>
      </c>
      <c r="L1432" s="19"/>
      <c r="M1432" s="19"/>
      <c r="N1432" s="19"/>
      <c r="O1432" s="35"/>
      <c r="P1432" s="468"/>
      <c r="Q1432" s="35"/>
      <c r="R1432" s="19"/>
      <c r="S1432" s="557" t="s">
        <v>104</v>
      </c>
      <c r="T1432" s="2"/>
    </row>
    <row r="1433" spans="1:20" s="1" customFormat="1" ht="69.75" customHeight="1" x14ac:dyDescent="0.35">
      <c r="A1433" s="605"/>
      <c r="B1433" s="541"/>
      <c r="C1433" s="19" t="s">
        <v>16</v>
      </c>
      <c r="D1433" s="41" t="s">
        <v>105</v>
      </c>
      <c r="E1433" s="19" t="s">
        <v>18</v>
      </c>
      <c r="F1433" s="19">
        <v>100</v>
      </c>
      <c r="G1433" s="19">
        <v>100</v>
      </c>
      <c r="H1433" s="24">
        <f>IF(G1433/F1433*100&gt;100,100,G1433/F1433*100)</f>
        <v>100</v>
      </c>
      <c r="I1433" s="19"/>
      <c r="J1433" s="19" t="s">
        <v>16</v>
      </c>
      <c r="K1433" s="41" t="s">
        <v>106</v>
      </c>
      <c r="L1433" s="19" t="s">
        <v>20</v>
      </c>
      <c r="M1433" s="19">
        <v>198</v>
      </c>
      <c r="N1433" s="19">
        <v>195</v>
      </c>
      <c r="O1433" s="24">
        <f>IF(N1433/M1433*100&gt;110,110,N1433/M1433*100)</f>
        <v>98.484848484848484</v>
      </c>
      <c r="P1433" s="468"/>
      <c r="Q1433" s="35"/>
      <c r="R1433" s="19"/>
      <c r="S1433" s="557"/>
      <c r="T1433" s="2"/>
    </row>
    <row r="1434" spans="1:20" s="1" customFormat="1" x14ac:dyDescent="0.35">
      <c r="A1434" s="605"/>
      <c r="B1434" s="541"/>
      <c r="C1434" s="19" t="s">
        <v>21</v>
      </c>
      <c r="D1434" s="41" t="s">
        <v>135</v>
      </c>
      <c r="E1434" s="19" t="s">
        <v>18</v>
      </c>
      <c r="F1434" s="19">
        <v>100</v>
      </c>
      <c r="G1434" s="19">
        <v>100</v>
      </c>
      <c r="H1434" s="24">
        <f>IF(G1434/F1434*100&gt;100,100,G1434/F1434*100)</f>
        <v>100</v>
      </c>
      <c r="I1434" s="19"/>
      <c r="J1434" s="19"/>
      <c r="K1434" s="455"/>
      <c r="L1434" s="19"/>
      <c r="M1434" s="476"/>
      <c r="N1434" s="476"/>
      <c r="O1434" s="24"/>
      <c r="P1434" s="468"/>
      <c r="Q1434" s="35"/>
      <c r="R1434" s="19"/>
      <c r="S1434" s="557"/>
      <c r="T1434" s="2"/>
    </row>
    <row r="1435" spans="1:20" s="1" customFormat="1" ht="43.5" customHeight="1" x14ac:dyDescent="0.35">
      <c r="A1435" s="605"/>
      <c r="B1435" s="541"/>
      <c r="C1435" s="19" t="s">
        <v>23</v>
      </c>
      <c r="D1435" s="41" t="s">
        <v>108</v>
      </c>
      <c r="E1435" s="19" t="s">
        <v>18</v>
      </c>
      <c r="F1435" s="19">
        <v>100</v>
      </c>
      <c r="G1435" s="19">
        <v>100</v>
      </c>
      <c r="H1435" s="24">
        <f>IF(G1435/F1435*100&gt;100,100,G1435/F1435*100)</f>
        <v>100</v>
      </c>
      <c r="I1435" s="19"/>
      <c r="J1435" s="129"/>
      <c r="K1435" s="41"/>
      <c r="L1435" s="19"/>
      <c r="M1435" s="122"/>
      <c r="N1435" s="122"/>
      <c r="O1435" s="24"/>
      <c r="P1435" s="468"/>
      <c r="Q1435" s="35"/>
      <c r="R1435" s="19"/>
      <c r="S1435" s="557"/>
      <c r="T1435" s="2"/>
    </row>
    <row r="1436" spans="1:20" s="1" customFormat="1" ht="67.5" customHeight="1" x14ac:dyDescent="0.35">
      <c r="A1436" s="605"/>
      <c r="B1436" s="541"/>
      <c r="C1436" s="19" t="s">
        <v>109</v>
      </c>
      <c r="D1436" s="41" t="s">
        <v>17</v>
      </c>
      <c r="E1436" s="19" t="s">
        <v>18</v>
      </c>
      <c r="F1436" s="19">
        <v>90</v>
      </c>
      <c r="G1436" s="19">
        <v>100</v>
      </c>
      <c r="H1436" s="24">
        <f>IF(G1436/F1436*100&gt;100,100,G1436/F1436*100)</f>
        <v>100</v>
      </c>
      <c r="I1436" s="19"/>
      <c r="J1436" s="129"/>
      <c r="K1436" s="41"/>
      <c r="L1436" s="19"/>
      <c r="M1436" s="122"/>
      <c r="N1436" s="122"/>
      <c r="O1436" s="24"/>
      <c r="P1436" s="468"/>
      <c r="Q1436" s="35"/>
      <c r="R1436" s="19"/>
      <c r="S1436" s="557"/>
      <c r="T1436" s="2"/>
    </row>
    <row r="1437" spans="1:20" s="1" customFormat="1" ht="115.5" customHeight="1" x14ac:dyDescent="0.35">
      <c r="A1437" s="605"/>
      <c r="B1437" s="541"/>
      <c r="C1437" s="19" t="s">
        <v>110</v>
      </c>
      <c r="D1437" s="41" t="s">
        <v>111</v>
      </c>
      <c r="E1437" s="19" t="s">
        <v>18</v>
      </c>
      <c r="F1437" s="19">
        <v>100</v>
      </c>
      <c r="G1437" s="19">
        <v>100</v>
      </c>
      <c r="H1437" s="24">
        <f>IF(G1437/F1437*100&gt;100,100,G1437/F1437*100)</f>
        <v>100</v>
      </c>
      <c r="I1437" s="19"/>
      <c r="J1437" s="129"/>
      <c r="K1437" s="41"/>
      <c r="L1437" s="19"/>
      <c r="M1437" s="122"/>
      <c r="N1437" s="122"/>
      <c r="O1437" s="24"/>
      <c r="P1437" s="468"/>
      <c r="Q1437" s="35"/>
      <c r="R1437" s="19"/>
      <c r="S1437" s="557"/>
      <c r="T1437" s="2"/>
    </row>
    <row r="1438" spans="1:20" s="1" customFormat="1" ht="40.5" customHeight="1" x14ac:dyDescent="0.35">
      <c r="A1438" s="605"/>
      <c r="B1438" s="541"/>
      <c r="C1438" s="465"/>
      <c r="D1438" s="466" t="s">
        <v>644</v>
      </c>
      <c r="E1438" s="465"/>
      <c r="F1438" s="20"/>
      <c r="G1438" s="20"/>
      <c r="H1438" s="18"/>
      <c r="I1438" s="18">
        <f>(H1433+H1434+H1435+H1436+H1437)/5</f>
        <v>100</v>
      </c>
      <c r="J1438" s="128"/>
      <c r="K1438" s="466" t="s">
        <v>644</v>
      </c>
      <c r="L1438" s="20"/>
      <c r="M1438" s="124"/>
      <c r="N1438" s="124"/>
      <c r="O1438" s="18"/>
      <c r="P1438" s="18">
        <f>O1433</f>
        <v>98.484848484848484</v>
      </c>
      <c r="Q1438" s="18">
        <f>(I1438+P1438)/2</f>
        <v>99.242424242424249</v>
      </c>
      <c r="R1438" s="465" t="s">
        <v>112</v>
      </c>
      <c r="S1438" s="557"/>
      <c r="T1438" s="2"/>
    </row>
    <row r="1439" spans="1:20" s="1" customFormat="1" ht="94.5" customHeight="1" x14ac:dyDescent="0.35">
      <c r="A1439" s="605"/>
      <c r="B1439" s="541"/>
      <c r="C1439" s="454" t="s">
        <v>26</v>
      </c>
      <c r="D1439" s="59" t="s">
        <v>113</v>
      </c>
      <c r="E1439" s="19"/>
      <c r="F1439" s="19"/>
      <c r="G1439" s="19"/>
      <c r="H1439" s="35"/>
      <c r="I1439" s="35"/>
      <c r="J1439" s="454" t="s">
        <v>26</v>
      </c>
      <c r="K1439" s="59" t="s">
        <v>113</v>
      </c>
      <c r="L1439" s="19"/>
      <c r="M1439" s="122"/>
      <c r="N1439" s="122"/>
      <c r="O1439" s="35"/>
      <c r="P1439" s="468"/>
      <c r="Q1439" s="35"/>
      <c r="R1439" s="19"/>
      <c r="S1439" s="557"/>
      <c r="T1439" s="2"/>
    </row>
    <row r="1440" spans="1:20" s="1" customFormat="1" ht="77.25" customHeight="1" x14ac:dyDescent="0.35">
      <c r="A1440" s="605"/>
      <c r="B1440" s="541"/>
      <c r="C1440" s="19" t="s">
        <v>28</v>
      </c>
      <c r="D1440" s="41" t="s">
        <v>114</v>
      </c>
      <c r="E1440" s="19" t="s">
        <v>18</v>
      </c>
      <c r="F1440" s="19">
        <v>100</v>
      </c>
      <c r="G1440" s="19">
        <v>100</v>
      </c>
      <c r="H1440" s="24">
        <f>IF(G1440/F1440*100&gt;100,100,G1440/F1440*100)</f>
        <v>100</v>
      </c>
      <c r="I1440" s="19"/>
      <c r="J1440" s="129" t="s">
        <v>28</v>
      </c>
      <c r="K1440" s="41" t="s">
        <v>106</v>
      </c>
      <c r="L1440" s="19" t="s">
        <v>20</v>
      </c>
      <c r="M1440" s="19">
        <v>265</v>
      </c>
      <c r="N1440" s="19">
        <v>259</v>
      </c>
      <c r="O1440" s="24">
        <f>IF(N1440/M1440*100&gt;110,110,N1440/M1440*100)</f>
        <v>97.735849056603769</v>
      </c>
      <c r="P1440" s="19"/>
      <c r="Q1440" s="35"/>
      <c r="R1440" s="19"/>
      <c r="S1440" s="557"/>
      <c r="T1440" s="2"/>
    </row>
    <row r="1441" spans="1:20" s="1" customFormat="1" x14ac:dyDescent="0.35">
      <c r="A1441" s="605"/>
      <c r="B1441" s="541"/>
      <c r="C1441" s="19" t="s">
        <v>30</v>
      </c>
      <c r="D1441" s="41" t="s">
        <v>115</v>
      </c>
      <c r="E1441" s="19" t="s">
        <v>18</v>
      </c>
      <c r="F1441" s="19">
        <v>100</v>
      </c>
      <c r="G1441" s="19">
        <v>100</v>
      </c>
      <c r="H1441" s="24">
        <f>IF(G1441/F1441*100&gt;100,100,G1441/F1441*100)</f>
        <v>100</v>
      </c>
      <c r="I1441" s="19"/>
      <c r="J1441" s="129"/>
      <c r="K1441" s="41"/>
      <c r="L1441" s="19"/>
      <c r="M1441" s="122"/>
      <c r="N1441" s="122"/>
      <c r="O1441" s="24"/>
      <c r="P1441" s="468"/>
      <c r="Q1441" s="35"/>
      <c r="R1441" s="19"/>
      <c r="S1441" s="557"/>
      <c r="T1441" s="2"/>
    </row>
    <row r="1442" spans="1:20" s="1" customFormat="1" ht="47.25" customHeight="1" x14ac:dyDescent="0.35">
      <c r="A1442" s="605"/>
      <c r="B1442" s="541"/>
      <c r="C1442" s="19" t="s">
        <v>34</v>
      </c>
      <c r="D1442" s="41" t="s">
        <v>108</v>
      </c>
      <c r="E1442" s="19" t="s">
        <v>18</v>
      </c>
      <c r="F1442" s="19">
        <v>100</v>
      </c>
      <c r="G1442" s="19">
        <v>100</v>
      </c>
      <c r="H1442" s="24">
        <f>IF(G1442/F1442*100&gt;100,100,G1442/F1442*100)</f>
        <v>100</v>
      </c>
      <c r="I1442" s="19"/>
      <c r="J1442" s="129"/>
      <c r="K1442" s="41"/>
      <c r="L1442" s="19"/>
      <c r="M1442" s="122"/>
      <c r="N1442" s="122"/>
      <c r="O1442" s="24"/>
      <c r="P1442" s="468"/>
      <c r="Q1442" s="35"/>
      <c r="R1442" s="19"/>
      <c r="S1442" s="557"/>
      <c r="T1442" s="2"/>
    </row>
    <row r="1443" spans="1:20" s="1" customFormat="1" ht="74.25" customHeight="1" x14ac:dyDescent="0.35">
      <c r="A1443" s="605"/>
      <c r="B1443" s="541"/>
      <c r="C1443" s="19" t="s">
        <v>78</v>
      </c>
      <c r="D1443" s="41" t="s">
        <v>17</v>
      </c>
      <c r="E1443" s="19" t="s">
        <v>18</v>
      </c>
      <c r="F1443" s="19">
        <v>90</v>
      </c>
      <c r="G1443" s="19">
        <v>100</v>
      </c>
      <c r="H1443" s="24">
        <f>IF(G1443/F1443*100&gt;100,100,G1443/F1443*100)</f>
        <v>100</v>
      </c>
      <c r="I1443" s="19"/>
      <c r="J1443" s="129"/>
      <c r="K1443" s="41"/>
      <c r="L1443" s="19"/>
      <c r="M1443" s="122"/>
      <c r="N1443" s="122"/>
      <c r="O1443" s="24"/>
      <c r="P1443" s="468"/>
      <c r="Q1443" s="35"/>
      <c r="R1443" s="19"/>
      <c r="S1443" s="557"/>
      <c r="T1443" s="2"/>
    </row>
    <row r="1444" spans="1:20" s="1" customFormat="1" ht="129" customHeight="1" x14ac:dyDescent="0.35">
      <c r="A1444" s="605"/>
      <c r="B1444" s="541"/>
      <c r="C1444" s="19" t="s">
        <v>79</v>
      </c>
      <c r="D1444" s="41" t="s">
        <v>111</v>
      </c>
      <c r="E1444" s="19" t="s">
        <v>18</v>
      </c>
      <c r="F1444" s="19">
        <v>100</v>
      </c>
      <c r="G1444" s="19">
        <v>100</v>
      </c>
      <c r="H1444" s="24">
        <f>IF(G1444/F1444*100&gt;100,100,G1444/F1444*100)</f>
        <v>100</v>
      </c>
      <c r="I1444" s="19"/>
      <c r="J1444" s="129"/>
      <c r="K1444" s="41"/>
      <c r="L1444" s="19"/>
      <c r="M1444" s="122"/>
      <c r="N1444" s="122"/>
      <c r="O1444" s="24"/>
      <c r="P1444" s="468"/>
      <c r="Q1444" s="35"/>
      <c r="R1444" s="19"/>
      <c r="S1444" s="557"/>
      <c r="T1444" s="2"/>
    </row>
    <row r="1445" spans="1:20" s="1" customFormat="1" ht="40.5" customHeight="1" x14ac:dyDescent="0.35">
      <c r="A1445" s="605"/>
      <c r="B1445" s="541"/>
      <c r="C1445" s="465"/>
      <c r="D1445" s="466" t="s">
        <v>644</v>
      </c>
      <c r="E1445" s="465"/>
      <c r="F1445" s="20"/>
      <c r="G1445" s="20"/>
      <c r="H1445" s="18"/>
      <c r="I1445" s="18">
        <f>(H1440+H1441+H1442+H1443+H1444)/5</f>
        <v>100</v>
      </c>
      <c r="J1445" s="128"/>
      <c r="K1445" s="466" t="s">
        <v>644</v>
      </c>
      <c r="L1445" s="20"/>
      <c r="M1445" s="124"/>
      <c r="N1445" s="124"/>
      <c r="O1445" s="18"/>
      <c r="P1445" s="18">
        <f>O1440</f>
        <v>97.735849056603769</v>
      </c>
      <c r="Q1445" s="18">
        <f>(I1445+P1445)/2</f>
        <v>98.867924528301884</v>
      </c>
      <c r="R1445" s="465" t="s">
        <v>112</v>
      </c>
      <c r="S1445" s="557"/>
      <c r="T1445" s="2"/>
    </row>
    <row r="1446" spans="1:20" s="1" customFormat="1" ht="119.25" customHeight="1" x14ac:dyDescent="0.35">
      <c r="A1446" s="605"/>
      <c r="B1446" s="541"/>
      <c r="C1446" s="454" t="s">
        <v>36</v>
      </c>
      <c r="D1446" s="59" t="s">
        <v>116</v>
      </c>
      <c r="E1446" s="19"/>
      <c r="F1446" s="19"/>
      <c r="G1446" s="19"/>
      <c r="H1446" s="35"/>
      <c r="I1446" s="35"/>
      <c r="J1446" s="454" t="s">
        <v>36</v>
      </c>
      <c r="K1446" s="59" t="str">
        <f>D1446</f>
        <v>Реализация основных общеобразовательных программ среднего общего образования</v>
      </c>
      <c r="L1446" s="19"/>
      <c r="M1446" s="122"/>
      <c r="N1446" s="122"/>
      <c r="O1446" s="35"/>
      <c r="P1446" s="468"/>
      <c r="Q1446" s="35"/>
      <c r="R1446" s="19"/>
      <c r="S1446" s="557"/>
      <c r="T1446" s="2"/>
    </row>
    <row r="1447" spans="1:20" s="1" customFormat="1" ht="71.25" customHeight="1" x14ac:dyDescent="0.35">
      <c r="A1447" s="605"/>
      <c r="B1447" s="541"/>
      <c r="C1447" s="19" t="s">
        <v>38</v>
      </c>
      <c r="D1447" s="41" t="s">
        <v>117</v>
      </c>
      <c r="E1447" s="19" t="s">
        <v>18</v>
      </c>
      <c r="F1447" s="19">
        <v>100</v>
      </c>
      <c r="G1447" s="19">
        <v>100</v>
      </c>
      <c r="H1447" s="24">
        <f>IF(G1447/F1447*100&gt;100,100,G1447/F1447*100)</f>
        <v>100</v>
      </c>
      <c r="I1447" s="19"/>
      <c r="J1447" s="129" t="s">
        <v>38</v>
      </c>
      <c r="K1447" s="41" t="s">
        <v>106</v>
      </c>
      <c r="L1447" s="19" t="s">
        <v>20</v>
      </c>
      <c r="M1447" s="19">
        <v>50</v>
      </c>
      <c r="N1447" s="19">
        <v>48</v>
      </c>
      <c r="O1447" s="24">
        <f>IF(N1447/M1447*100&gt;110,110,N1447/M1447*100)</f>
        <v>96</v>
      </c>
      <c r="P1447" s="19"/>
      <c r="Q1447" s="35"/>
      <c r="R1447" s="19"/>
      <c r="S1447" s="557"/>
      <c r="T1447" s="2"/>
    </row>
    <row r="1448" spans="1:20" s="1" customFormat="1" x14ac:dyDescent="0.35">
      <c r="A1448" s="605"/>
      <c r="B1448" s="541"/>
      <c r="C1448" s="19" t="s">
        <v>118</v>
      </c>
      <c r="D1448" s="41" t="s">
        <v>119</v>
      </c>
      <c r="E1448" s="19" t="s">
        <v>18</v>
      </c>
      <c r="F1448" s="19">
        <v>100</v>
      </c>
      <c r="G1448" s="19">
        <v>100</v>
      </c>
      <c r="H1448" s="24">
        <f>IF(G1448/F1448*100&gt;100,100,G1448/F1448*100)</f>
        <v>100</v>
      </c>
      <c r="I1448" s="19"/>
      <c r="J1448" s="129"/>
      <c r="K1448" s="41"/>
      <c r="L1448" s="19"/>
      <c r="M1448" s="122"/>
      <c r="N1448" s="122"/>
      <c r="O1448" s="24"/>
      <c r="P1448" s="468"/>
      <c r="Q1448" s="35"/>
      <c r="R1448" s="19"/>
      <c r="S1448" s="557"/>
      <c r="T1448" s="2"/>
    </row>
    <row r="1449" spans="1:20" s="1" customFormat="1" ht="52.5" customHeight="1" x14ac:dyDescent="0.35">
      <c r="A1449" s="605"/>
      <c r="B1449" s="541"/>
      <c r="C1449" s="19" t="s">
        <v>120</v>
      </c>
      <c r="D1449" s="41" t="s">
        <v>108</v>
      </c>
      <c r="E1449" s="19" t="s">
        <v>18</v>
      </c>
      <c r="F1449" s="19">
        <v>100</v>
      </c>
      <c r="G1449" s="19">
        <v>100</v>
      </c>
      <c r="H1449" s="24">
        <f>IF(G1449/F1449*100&gt;100,100,G1449/F1449*100)</f>
        <v>100</v>
      </c>
      <c r="I1449" s="19"/>
      <c r="J1449" s="129"/>
      <c r="K1449" s="41"/>
      <c r="L1449" s="19"/>
      <c r="M1449" s="122"/>
      <c r="N1449" s="122"/>
      <c r="O1449" s="24"/>
      <c r="P1449" s="468"/>
      <c r="Q1449" s="35"/>
      <c r="R1449" s="19"/>
      <c r="S1449" s="557"/>
      <c r="T1449" s="2"/>
    </row>
    <row r="1450" spans="1:20" s="1" customFormat="1" ht="73.5" customHeight="1" x14ac:dyDescent="0.35">
      <c r="A1450" s="605"/>
      <c r="B1450" s="541"/>
      <c r="C1450" s="19" t="s">
        <v>121</v>
      </c>
      <c r="D1450" s="41" t="s">
        <v>17</v>
      </c>
      <c r="E1450" s="19" t="s">
        <v>18</v>
      </c>
      <c r="F1450" s="19">
        <v>90</v>
      </c>
      <c r="G1450" s="19">
        <v>100</v>
      </c>
      <c r="H1450" s="24">
        <f>IF(G1450/F1450*100&gt;100,100,G1450/F1450*100)</f>
        <v>100</v>
      </c>
      <c r="I1450" s="19"/>
      <c r="J1450" s="129"/>
      <c r="K1450" s="41"/>
      <c r="L1450" s="19"/>
      <c r="M1450" s="122"/>
      <c r="N1450" s="122"/>
      <c r="O1450" s="24"/>
      <c r="P1450" s="468"/>
      <c r="Q1450" s="35"/>
      <c r="R1450" s="19"/>
      <c r="S1450" s="557"/>
      <c r="T1450" s="2"/>
    </row>
    <row r="1451" spans="1:20" s="1" customFormat="1" ht="127.5" customHeight="1" x14ac:dyDescent="0.35">
      <c r="A1451" s="605"/>
      <c r="B1451" s="541"/>
      <c r="C1451" s="19" t="s">
        <v>122</v>
      </c>
      <c r="D1451" s="41" t="s">
        <v>111</v>
      </c>
      <c r="E1451" s="19" t="s">
        <v>18</v>
      </c>
      <c r="F1451" s="19">
        <v>100</v>
      </c>
      <c r="G1451" s="19">
        <v>100</v>
      </c>
      <c r="H1451" s="24">
        <f>IF(G1451/F1451*100&gt;100,100,G1451/F1451*100)</f>
        <v>100</v>
      </c>
      <c r="I1451" s="19"/>
      <c r="J1451" s="129"/>
      <c r="K1451" s="41"/>
      <c r="L1451" s="19"/>
      <c r="M1451" s="122"/>
      <c r="N1451" s="122"/>
      <c r="O1451" s="24"/>
      <c r="P1451" s="468"/>
      <c r="Q1451" s="35"/>
      <c r="R1451" s="19"/>
      <c r="S1451" s="557"/>
      <c r="T1451" s="2"/>
    </row>
    <row r="1452" spans="1:20" s="1" customFormat="1" ht="40.5" customHeight="1" x14ac:dyDescent="0.35">
      <c r="A1452" s="605"/>
      <c r="B1452" s="541"/>
      <c r="C1452" s="465"/>
      <c r="D1452" s="466" t="s">
        <v>644</v>
      </c>
      <c r="E1452" s="465"/>
      <c r="F1452" s="20"/>
      <c r="G1452" s="20"/>
      <c r="H1452" s="18"/>
      <c r="I1452" s="18">
        <f>(H1447+H1448+H1449+H1450+H1451)/5</f>
        <v>100</v>
      </c>
      <c r="J1452" s="128"/>
      <c r="K1452" s="466" t="s">
        <v>644</v>
      </c>
      <c r="L1452" s="20"/>
      <c r="M1452" s="124"/>
      <c r="N1452" s="124"/>
      <c r="O1452" s="18"/>
      <c r="P1452" s="18">
        <f>O1447</f>
        <v>96</v>
      </c>
      <c r="Q1452" s="18">
        <f>(I1452+P1452)/2</f>
        <v>98</v>
      </c>
      <c r="R1452" s="465" t="s">
        <v>112</v>
      </c>
      <c r="S1452" s="557"/>
      <c r="T1452" s="2"/>
    </row>
    <row r="1453" spans="1:20" s="1" customFormat="1" x14ac:dyDescent="0.35">
      <c r="A1453" s="605"/>
      <c r="B1453" s="541"/>
      <c r="C1453" s="454" t="s">
        <v>123</v>
      </c>
      <c r="D1453" s="59" t="s">
        <v>27</v>
      </c>
      <c r="E1453" s="19"/>
      <c r="F1453" s="19"/>
      <c r="G1453" s="19"/>
      <c r="H1453" s="35"/>
      <c r="I1453" s="35"/>
      <c r="J1453" s="454" t="s">
        <v>123</v>
      </c>
      <c r="K1453" s="59" t="s">
        <v>27</v>
      </c>
      <c r="L1453" s="19"/>
      <c r="M1453" s="122"/>
      <c r="N1453" s="122"/>
      <c r="O1453" s="35"/>
      <c r="P1453" s="468"/>
      <c r="Q1453" s="35"/>
      <c r="R1453" s="19"/>
      <c r="S1453" s="557"/>
      <c r="T1453" s="2"/>
    </row>
    <row r="1454" spans="1:20" s="1" customFormat="1" ht="42.75" customHeight="1" x14ac:dyDescent="0.35">
      <c r="A1454" s="605"/>
      <c r="B1454" s="541"/>
      <c r="C1454" s="19" t="s">
        <v>124</v>
      </c>
      <c r="D1454" s="41" t="s">
        <v>125</v>
      </c>
      <c r="E1454" s="19" t="s">
        <v>18</v>
      </c>
      <c r="F1454" s="19">
        <v>100</v>
      </c>
      <c r="G1454" s="19">
        <v>100</v>
      </c>
      <c r="H1454" s="24">
        <f>IF(G1454/F1454*100&gt;100,100,G1454/F1454*100)</f>
        <v>100</v>
      </c>
      <c r="I1454" s="19"/>
      <c r="J1454" s="129" t="s">
        <v>124</v>
      </c>
      <c r="K1454" s="41" t="s">
        <v>106</v>
      </c>
      <c r="L1454" s="19" t="s">
        <v>20</v>
      </c>
      <c r="M1454" s="19">
        <v>125</v>
      </c>
      <c r="N1454" s="19">
        <v>125</v>
      </c>
      <c r="O1454" s="24">
        <f>IF(N1454/M1454*100&gt;110,110,N1454/M1454*100)</f>
        <v>100</v>
      </c>
      <c r="P1454" s="468"/>
      <c r="Q1454" s="35"/>
      <c r="R1454" s="19"/>
      <c r="S1454" s="557"/>
      <c r="T1454" s="2"/>
    </row>
    <row r="1455" spans="1:20" s="1" customFormat="1" ht="75" customHeight="1" x14ac:dyDescent="0.35">
      <c r="A1455" s="605"/>
      <c r="B1455" s="541"/>
      <c r="C1455" s="19" t="s">
        <v>127</v>
      </c>
      <c r="D1455" s="41" t="s">
        <v>128</v>
      </c>
      <c r="E1455" s="19" t="s">
        <v>18</v>
      </c>
      <c r="F1455" s="19">
        <v>90</v>
      </c>
      <c r="G1455" s="19">
        <v>90</v>
      </c>
      <c r="H1455" s="24">
        <f>IF(G1455/F1455*100&gt;100,100,G1455/F1455*100)</f>
        <v>100</v>
      </c>
      <c r="I1455" s="19"/>
      <c r="J1455" s="129"/>
      <c r="K1455" s="41"/>
      <c r="L1455" s="19"/>
      <c r="M1455" s="122"/>
      <c r="N1455" s="122"/>
      <c r="O1455" s="24"/>
      <c r="P1455" s="468"/>
      <c r="Q1455" s="35"/>
      <c r="R1455" s="19"/>
      <c r="S1455" s="557"/>
      <c r="T1455" s="2"/>
    </row>
    <row r="1456" spans="1:20" s="1" customFormat="1" ht="40.5" customHeight="1" x14ac:dyDescent="0.35">
      <c r="A1456" s="605"/>
      <c r="B1456" s="541"/>
      <c r="C1456" s="465"/>
      <c r="D1456" s="466" t="s">
        <v>644</v>
      </c>
      <c r="E1456" s="465"/>
      <c r="F1456" s="20"/>
      <c r="G1456" s="20"/>
      <c r="H1456" s="18"/>
      <c r="I1456" s="18">
        <f>(H1454+H1455)/2</f>
        <v>100</v>
      </c>
      <c r="J1456" s="128"/>
      <c r="K1456" s="466" t="s">
        <v>644</v>
      </c>
      <c r="L1456" s="20"/>
      <c r="M1456" s="124"/>
      <c r="N1456" s="124"/>
      <c r="O1456" s="18"/>
      <c r="P1456" s="18">
        <f>O1454</f>
        <v>100</v>
      </c>
      <c r="Q1456" s="18">
        <f>(I1456+P1456)/2</f>
        <v>100</v>
      </c>
      <c r="R1456" s="465" t="s">
        <v>25</v>
      </c>
      <c r="S1456" s="557"/>
      <c r="T1456" s="2"/>
    </row>
    <row r="1457" spans="1:20" s="1" customFormat="1" ht="250.5" customHeight="1" x14ac:dyDescent="0.35">
      <c r="A1457" s="605"/>
      <c r="B1457" s="541"/>
      <c r="C1457" s="454" t="s">
        <v>129</v>
      </c>
      <c r="D1457" s="59" t="s">
        <v>275</v>
      </c>
      <c r="E1457" s="454"/>
      <c r="F1457" s="454"/>
      <c r="G1457" s="454"/>
      <c r="H1457" s="35"/>
      <c r="I1457" s="35"/>
      <c r="J1457" s="454" t="s">
        <v>129</v>
      </c>
      <c r="K1457" s="59" t="s">
        <v>276</v>
      </c>
      <c r="L1457" s="19"/>
      <c r="M1457" s="19"/>
      <c r="N1457" s="19"/>
      <c r="O1457" s="35"/>
      <c r="P1457" s="468"/>
      <c r="Q1457" s="35"/>
      <c r="R1457" s="19"/>
      <c r="S1457" s="557"/>
      <c r="T1457" s="2"/>
    </row>
    <row r="1458" spans="1:20" s="1" customFormat="1" ht="80.25" customHeight="1" x14ac:dyDescent="0.35">
      <c r="A1458" s="605"/>
      <c r="B1458" s="541"/>
      <c r="C1458" s="19" t="s">
        <v>131</v>
      </c>
      <c r="D1458" s="41" t="s">
        <v>17</v>
      </c>
      <c r="E1458" s="19" t="s">
        <v>18</v>
      </c>
      <c r="F1458" s="19">
        <v>90</v>
      </c>
      <c r="G1458" s="19">
        <v>90</v>
      </c>
      <c r="H1458" s="24">
        <f>IF(G1458/F1458*100&gt;100,100,G1458/F1458*100)</f>
        <v>100</v>
      </c>
      <c r="I1458" s="19"/>
      <c r="J1458" s="19" t="s">
        <v>131</v>
      </c>
      <c r="K1458" s="41" t="s">
        <v>273</v>
      </c>
      <c r="L1458" s="19" t="s">
        <v>41</v>
      </c>
      <c r="M1458" s="19">
        <v>36</v>
      </c>
      <c r="N1458" s="19">
        <v>36</v>
      </c>
      <c r="O1458" s="24">
        <f>IF(N1458/M1458*100&gt;110,110,N1458/M1458*100)</f>
        <v>100</v>
      </c>
      <c r="P1458" s="468"/>
      <c r="Q1458" s="35"/>
      <c r="R1458" s="19"/>
      <c r="S1458" s="557"/>
      <c r="T1458" s="2"/>
    </row>
    <row r="1459" spans="1:20" s="1" customFormat="1" ht="54.75" customHeight="1" x14ac:dyDescent="0.35">
      <c r="A1459" s="605"/>
      <c r="B1459" s="541"/>
      <c r="C1459" s="465"/>
      <c r="D1459" s="466" t="s">
        <v>644</v>
      </c>
      <c r="E1459" s="465"/>
      <c r="F1459" s="20"/>
      <c r="G1459" s="20"/>
      <c r="H1459" s="18"/>
      <c r="I1459" s="18">
        <f>H1458</f>
        <v>100</v>
      </c>
      <c r="J1459" s="128"/>
      <c r="K1459" s="466" t="s">
        <v>644</v>
      </c>
      <c r="L1459" s="20"/>
      <c r="M1459" s="124"/>
      <c r="N1459" s="124"/>
      <c r="O1459" s="18"/>
      <c r="P1459" s="18">
        <f>O1458</f>
        <v>100</v>
      </c>
      <c r="Q1459" s="18">
        <f>(I1459+P1459)/2</f>
        <v>100</v>
      </c>
      <c r="R1459" s="465" t="s">
        <v>25</v>
      </c>
      <c r="S1459" s="557"/>
      <c r="T1459" s="2"/>
    </row>
    <row r="1460" spans="1:20" s="1" customFormat="1" ht="270.75" customHeight="1" x14ac:dyDescent="0.35">
      <c r="A1460" s="605"/>
      <c r="B1460" s="541"/>
      <c r="C1460" s="454" t="s">
        <v>140</v>
      </c>
      <c r="D1460" s="59" t="s">
        <v>274</v>
      </c>
      <c r="E1460" s="454"/>
      <c r="F1460" s="454"/>
      <c r="G1460" s="454"/>
      <c r="H1460" s="35"/>
      <c r="I1460" s="35"/>
      <c r="J1460" s="454" t="s">
        <v>140</v>
      </c>
      <c r="K1460" s="59" t="s">
        <v>274</v>
      </c>
      <c r="L1460" s="19"/>
      <c r="M1460" s="19"/>
      <c r="N1460" s="19"/>
      <c r="O1460" s="35"/>
      <c r="P1460" s="468"/>
      <c r="Q1460" s="35"/>
      <c r="R1460" s="19"/>
      <c r="S1460" s="557"/>
      <c r="T1460" s="2"/>
    </row>
    <row r="1461" spans="1:20" s="1" customFormat="1" ht="74.25" customHeight="1" x14ac:dyDescent="0.35">
      <c r="A1461" s="605"/>
      <c r="B1461" s="541"/>
      <c r="C1461" s="19" t="s">
        <v>142</v>
      </c>
      <c r="D1461" s="41" t="s">
        <v>17</v>
      </c>
      <c r="E1461" s="19" t="s">
        <v>18</v>
      </c>
      <c r="F1461" s="19">
        <v>90</v>
      </c>
      <c r="G1461" s="19">
        <v>90</v>
      </c>
      <c r="H1461" s="24">
        <f>IF(G1461/F1461*100&gt;100,100,G1461/F1461*100)</f>
        <v>100</v>
      </c>
      <c r="I1461" s="19"/>
      <c r="J1461" s="19" t="s">
        <v>142</v>
      </c>
      <c r="K1461" s="41" t="s">
        <v>273</v>
      </c>
      <c r="L1461" s="19" t="s">
        <v>41</v>
      </c>
      <c r="M1461" s="19">
        <v>180</v>
      </c>
      <c r="N1461" s="19">
        <v>180</v>
      </c>
      <c r="O1461" s="24">
        <f>IF(N1461/M1461*100&gt;110,110,N1461/M1461*100)</f>
        <v>100</v>
      </c>
      <c r="P1461" s="468"/>
      <c r="Q1461" s="35"/>
      <c r="R1461" s="19"/>
      <c r="S1461" s="557"/>
      <c r="T1461" s="2"/>
    </row>
    <row r="1462" spans="1:20" s="1" customFormat="1" ht="51" customHeight="1" x14ac:dyDescent="0.35">
      <c r="A1462" s="605"/>
      <c r="B1462" s="541"/>
      <c r="C1462" s="465"/>
      <c r="D1462" s="466" t="s">
        <v>644</v>
      </c>
      <c r="E1462" s="465"/>
      <c r="F1462" s="20"/>
      <c r="G1462" s="20"/>
      <c r="H1462" s="18"/>
      <c r="I1462" s="18">
        <f>H1461</f>
        <v>100</v>
      </c>
      <c r="J1462" s="128"/>
      <c r="K1462" s="466" t="s">
        <v>644</v>
      </c>
      <c r="L1462" s="20"/>
      <c r="M1462" s="124"/>
      <c r="N1462" s="124"/>
      <c r="O1462" s="18"/>
      <c r="P1462" s="18">
        <f>O1461</f>
        <v>100</v>
      </c>
      <c r="Q1462" s="18">
        <f>(I1462+P1462)/2</f>
        <v>100</v>
      </c>
      <c r="R1462" s="465" t="s">
        <v>25</v>
      </c>
      <c r="S1462" s="557"/>
      <c r="T1462" s="2"/>
    </row>
    <row r="1463" spans="1:20" s="1" customFormat="1" ht="62.25" customHeight="1" x14ac:dyDescent="0.35">
      <c r="A1463" s="605"/>
      <c r="B1463" s="541"/>
      <c r="C1463" s="454" t="s">
        <v>144</v>
      </c>
      <c r="D1463" s="59" t="s">
        <v>130</v>
      </c>
      <c r="E1463" s="19"/>
      <c r="F1463" s="19"/>
      <c r="G1463" s="19"/>
      <c r="H1463" s="35"/>
      <c r="I1463" s="35"/>
      <c r="J1463" s="454" t="s">
        <v>144</v>
      </c>
      <c r="K1463" s="59" t="str">
        <f>D1463</f>
        <v>Реализация дополнительных общеразвивающих программ</v>
      </c>
      <c r="L1463" s="19"/>
      <c r="M1463" s="122"/>
      <c r="N1463" s="122"/>
      <c r="O1463" s="35"/>
      <c r="P1463" s="468"/>
      <c r="Q1463" s="35"/>
      <c r="R1463" s="19"/>
      <c r="S1463" s="557"/>
      <c r="T1463" s="2"/>
    </row>
    <row r="1464" spans="1:20" s="1" customFormat="1" ht="92.25" customHeight="1" x14ac:dyDescent="0.35">
      <c r="A1464" s="605"/>
      <c r="B1464" s="541"/>
      <c r="C1464" s="19" t="s">
        <v>146</v>
      </c>
      <c r="D1464" s="41" t="s">
        <v>128</v>
      </c>
      <c r="E1464" s="19" t="s">
        <v>18</v>
      </c>
      <c r="F1464" s="19">
        <v>90</v>
      </c>
      <c r="G1464" s="19">
        <v>90</v>
      </c>
      <c r="H1464" s="24">
        <f>IF(G1464/F1464*100&gt;100,100,G1464/F1464*100)</f>
        <v>100</v>
      </c>
      <c r="I1464" s="19"/>
      <c r="J1464" s="129" t="s">
        <v>146</v>
      </c>
      <c r="K1464" s="41" t="s">
        <v>136</v>
      </c>
      <c r="L1464" s="19" t="s">
        <v>139</v>
      </c>
      <c r="M1464" s="19">
        <v>40392</v>
      </c>
      <c r="N1464" s="19">
        <v>40403</v>
      </c>
      <c r="O1464" s="24">
        <f>IF(N1464/M1464*100&gt;110,110,N1464/M1464*100)</f>
        <v>100.02723311546842</v>
      </c>
      <c r="P1464" s="468"/>
      <c r="Q1464" s="35"/>
      <c r="R1464" s="19"/>
      <c r="S1464" s="557"/>
      <c r="T1464" s="2"/>
    </row>
    <row r="1465" spans="1:20" s="1" customFormat="1" ht="45.75" customHeight="1" x14ac:dyDescent="0.35">
      <c r="A1465" s="605"/>
      <c r="B1465" s="541"/>
      <c r="C1465" s="465"/>
      <c r="D1465" s="466" t="s">
        <v>644</v>
      </c>
      <c r="E1465" s="465"/>
      <c r="F1465" s="20"/>
      <c r="G1465" s="20"/>
      <c r="H1465" s="18"/>
      <c r="I1465" s="18">
        <f>H1464</f>
        <v>100</v>
      </c>
      <c r="J1465" s="128"/>
      <c r="K1465" s="466" t="s">
        <v>644</v>
      </c>
      <c r="L1465" s="20"/>
      <c r="M1465" s="124"/>
      <c r="N1465" s="124"/>
      <c r="O1465" s="18"/>
      <c r="P1465" s="18">
        <f>O1464</f>
        <v>100.02723311546842</v>
      </c>
      <c r="Q1465" s="18">
        <f>(I1465+P1465)/2</f>
        <v>100.01361655773421</v>
      </c>
      <c r="R1465" s="465" t="s">
        <v>25</v>
      </c>
      <c r="S1465" s="557"/>
      <c r="T1465" s="2"/>
    </row>
    <row r="1466" spans="1:20" s="1" customFormat="1" ht="76.5" customHeight="1" x14ac:dyDescent="0.35">
      <c r="A1466" s="605">
        <v>67</v>
      </c>
      <c r="B1466" s="541" t="s">
        <v>200</v>
      </c>
      <c r="C1466" s="454" t="s">
        <v>13</v>
      </c>
      <c r="D1466" s="59" t="s">
        <v>103</v>
      </c>
      <c r="E1466" s="454"/>
      <c r="F1466" s="454"/>
      <c r="G1466" s="454"/>
      <c r="H1466" s="35"/>
      <c r="I1466" s="35"/>
      <c r="J1466" s="454" t="s">
        <v>13</v>
      </c>
      <c r="K1466" s="59" t="s">
        <v>103</v>
      </c>
      <c r="L1466" s="19"/>
      <c r="M1466" s="19"/>
      <c r="N1466" s="19"/>
      <c r="O1466" s="35"/>
      <c r="P1466" s="468"/>
      <c r="Q1466" s="35"/>
      <c r="R1466" s="19"/>
      <c r="S1466" s="557" t="s">
        <v>104</v>
      </c>
      <c r="T1466" s="2"/>
    </row>
    <row r="1467" spans="1:20" s="1" customFormat="1" ht="74.25" customHeight="1" x14ac:dyDescent="0.35">
      <c r="A1467" s="605"/>
      <c r="B1467" s="541"/>
      <c r="C1467" s="19" t="s">
        <v>16</v>
      </c>
      <c r="D1467" s="41" t="s">
        <v>105</v>
      </c>
      <c r="E1467" s="19" t="s">
        <v>18</v>
      </c>
      <c r="F1467" s="19">
        <v>100</v>
      </c>
      <c r="G1467" s="19">
        <v>100</v>
      </c>
      <c r="H1467" s="24">
        <f>IF(G1467/F1467*100&gt;100,100,G1467/F1467*100)</f>
        <v>100</v>
      </c>
      <c r="I1467" s="19"/>
      <c r="J1467" s="19" t="s">
        <v>16</v>
      </c>
      <c r="K1467" s="41" t="s">
        <v>106</v>
      </c>
      <c r="L1467" s="19" t="s">
        <v>20</v>
      </c>
      <c r="M1467" s="19">
        <v>426</v>
      </c>
      <c r="N1467" s="19">
        <v>437</v>
      </c>
      <c r="O1467" s="24">
        <f>IF(N1467/M1467*100&gt;110,110,N1467/M1467*100)</f>
        <v>102.58215962441315</v>
      </c>
      <c r="P1467" s="468"/>
      <c r="Q1467" s="35"/>
      <c r="R1467" s="19"/>
      <c r="S1467" s="557"/>
      <c r="T1467" s="2"/>
    </row>
    <row r="1468" spans="1:20" s="1" customFormat="1" x14ac:dyDescent="0.35">
      <c r="A1468" s="605"/>
      <c r="B1468" s="541"/>
      <c r="C1468" s="19" t="s">
        <v>21</v>
      </c>
      <c r="D1468" s="41" t="s">
        <v>135</v>
      </c>
      <c r="E1468" s="19" t="s">
        <v>18</v>
      </c>
      <c r="F1468" s="19">
        <v>100</v>
      </c>
      <c r="G1468" s="19">
        <v>100</v>
      </c>
      <c r="H1468" s="24">
        <f>IF(G1468/F1468*100&gt;100,100,G1468/F1468*100)</f>
        <v>100</v>
      </c>
      <c r="I1468" s="19"/>
      <c r="J1468" s="19"/>
      <c r="K1468" s="455"/>
      <c r="L1468" s="19"/>
      <c r="M1468" s="476"/>
      <c r="N1468" s="476"/>
      <c r="O1468" s="24"/>
      <c r="P1468" s="468"/>
      <c r="Q1468" s="35"/>
      <c r="R1468" s="19"/>
      <c r="S1468" s="557"/>
      <c r="T1468" s="2"/>
    </row>
    <row r="1469" spans="1:20" s="1" customFormat="1" ht="57.75" customHeight="1" x14ac:dyDescent="0.35">
      <c r="A1469" s="605"/>
      <c r="B1469" s="541"/>
      <c r="C1469" s="19" t="s">
        <v>23</v>
      </c>
      <c r="D1469" s="41" t="s">
        <v>108</v>
      </c>
      <c r="E1469" s="19" t="s">
        <v>18</v>
      </c>
      <c r="F1469" s="19">
        <v>100</v>
      </c>
      <c r="G1469" s="19">
        <v>100</v>
      </c>
      <c r="H1469" s="24">
        <f>IF(G1469/F1469*100&gt;100,100,G1469/F1469*100)</f>
        <v>100</v>
      </c>
      <c r="I1469" s="19"/>
      <c r="J1469" s="129"/>
      <c r="K1469" s="41"/>
      <c r="L1469" s="19"/>
      <c r="M1469" s="122"/>
      <c r="N1469" s="122"/>
      <c r="O1469" s="24"/>
      <c r="P1469" s="468"/>
      <c r="Q1469" s="35"/>
      <c r="R1469" s="19"/>
      <c r="S1469" s="557"/>
      <c r="T1469" s="2"/>
    </row>
    <row r="1470" spans="1:20" s="1" customFormat="1" ht="72" customHeight="1" x14ac:dyDescent="0.35">
      <c r="A1470" s="605"/>
      <c r="B1470" s="541"/>
      <c r="C1470" s="19" t="s">
        <v>109</v>
      </c>
      <c r="D1470" s="41" t="s">
        <v>17</v>
      </c>
      <c r="E1470" s="19" t="s">
        <v>18</v>
      </c>
      <c r="F1470" s="19">
        <v>90</v>
      </c>
      <c r="G1470" s="19">
        <v>100</v>
      </c>
      <c r="H1470" s="24">
        <f>IF(G1470/F1470*100&gt;100,100,G1470/F1470*100)</f>
        <v>100</v>
      </c>
      <c r="I1470" s="19"/>
      <c r="J1470" s="129"/>
      <c r="K1470" s="41"/>
      <c r="L1470" s="19"/>
      <c r="M1470" s="122"/>
      <c r="N1470" s="122"/>
      <c r="O1470" s="24"/>
      <c r="P1470" s="468"/>
      <c r="Q1470" s="35"/>
      <c r="R1470" s="19"/>
      <c r="S1470" s="557"/>
      <c r="T1470" s="2"/>
    </row>
    <row r="1471" spans="1:20" s="1" customFormat="1" ht="121.5" customHeight="1" x14ac:dyDescent="0.35">
      <c r="A1471" s="605"/>
      <c r="B1471" s="541"/>
      <c r="C1471" s="19" t="s">
        <v>110</v>
      </c>
      <c r="D1471" s="41" t="s">
        <v>111</v>
      </c>
      <c r="E1471" s="19" t="s">
        <v>18</v>
      </c>
      <c r="F1471" s="19">
        <v>100</v>
      </c>
      <c r="G1471" s="19">
        <v>100</v>
      </c>
      <c r="H1471" s="24">
        <f>IF(G1471/F1471*100&gt;100,100,G1471/F1471*100)</f>
        <v>100</v>
      </c>
      <c r="I1471" s="19"/>
      <c r="J1471" s="129"/>
      <c r="K1471" s="41"/>
      <c r="L1471" s="19"/>
      <c r="M1471" s="122"/>
      <c r="N1471" s="122"/>
      <c r="O1471" s="24"/>
      <c r="P1471" s="468"/>
      <c r="Q1471" s="35"/>
      <c r="R1471" s="19"/>
      <c r="S1471" s="557"/>
      <c r="T1471" s="2"/>
    </row>
    <row r="1472" spans="1:20" s="1" customFormat="1" ht="40.5" customHeight="1" x14ac:dyDescent="0.35">
      <c r="A1472" s="605"/>
      <c r="B1472" s="541"/>
      <c r="C1472" s="465"/>
      <c r="D1472" s="466" t="s">
        <v>644</v>
      </c>
      <c r="E1472" s="465"/>
      <c r="F1472" s="20"/>
      <c r="G1472" s="20"/>
      <c r="H1472" s="18"/>
      <c r="I1472" s="18">
        <f>(H1467+H1468+H1469+H1470+H1471)/5</f>
        <v>100</v>
      </c>
      <c r="J1472" s="128"/>
      <c r="K1472" s="466" t="s">
        <v>644</v>
      </c>
      <c r="L1472" s="20"/>
      <c r="M1472" s="124"/>
      <c r="N1472" s="124"/>
      <c r="O1472" s="18"/>
      <c r="P1472" s="18">
        <f>O1467</f>
        <v>102.58215962441315</v>
      </c>
      <c r="Q1472" s="18">
        <f>(I1472+P1472)/2</f>
        <v>101.29107981220658</v>
      </c>
      <c r="R1472" s="465" t="s">
        <v>25</v>
      </c>
      <c r="S1472" s="557"/>
      <c r="T1472" s="2"/>
    </row>
    <row r="1473" spans="1:20" s="1" customFormat="1" ht="82.5" customHeight="1" x14ac:dyDescent="0.35">
      <c r="A1473" s="605"/>
      <c r="B1473" s="541"/>
      <c r="C1473" s="454" t="s">
        <v>26</v>
      </c>
      <c r="D1473" s="59" t="s">
        <v>113</v>
      </c>
      <c r="E1473" s="19"/>
      <c r="F1473" s="19"/>
      <c r="G1473" s="19"/>
      <c r="H1473" s="35"/>
      <c r="I1473" s="35"/>
      <c r="J1473" s="454" t="s">
        <v>26</v>
      </c>
      <c r="K1473" s="59" t="s">
        <v>113</v>
      </c>
      <c r="L1473" s="19"/>
      <c r="M1473" s="122"/>
      <c r="N1473" s="122"/>
      <c r="O1473" s="35"/>
      <c r="P1473" s="468"/>
      <c r="Q1473" s="35"/>
      <c r="R1473" s="19"/>
      <c r="S1473" s="557"/>
      <c r="T1473" s="2"/>
    </row>
    <row r="1474" spans="1:20" s="1" customFormat="1" ht="72" customHeight="1" x14ac:dyDescent="0.35">
      <c r="A1474" s="605"/>
      <c r="B1474" s="541"/>
      <c r="C1474" s="19" t="s">
        <v>28</v>
      </c>
      <c r="D1474" s="41" t="s">
        <v>114</v>
      </c>
      <c r="E1474" s="19" t="s">
        <v>18</v>
      </c>
      <c r="F1474" s="19">
        <v>100</v>
      </c>
      <c r="G1474" s="19">
        <v>100</v>
      </c>
      <c r="H1474" s="24">
        <f>IF(G1474/F1474*100&gt;100,100,G1474/F1474*100)</f>
        <v>100</v>
      </c>
      <c r="I1474" s="19"/>
      <c r="J1474" s="129" t="s">
        <v>28</v>
      </c>
      <c r="K1474" s="41" t="s">
        <v>106</v>
      </c>
      <c r="L1474" s="19" t="s">
        <v>20</v>
      </c>
      <c r="M1474" s="19">
        <v>611</v>
      </c>
      <c r="N1474" s="19">
        <v>614</v>
      </c>
      <c r="O1474" s="24">
        <f>IF(N1474/M1474*100&gt;110,110,N1474/M1474*100)</f>
        <v>100.49099836333879</v>
      </c>
      <c r="P1474" s="19"/>
      <c r="Q1474" s="35"/>
      <c r="R1474" s="19"/>
      <c r="S1474" s="557"/>
      <c r="T1474" s="2"/>
    </row>
    <row r="1475" spans="1:20" s="1" customFormat="1" x14ac:dyDescent="0.35">
      <c r="A1475" s="605"/>
      <c r="B1475" s="541"/>
      <c r="C1475" s="19" t="s">
        <v>30</v>
      </c>
      <c r="D1475" s="41" t="s">
        <v>115</v>
      </c>
      <c r="E1475" s="19" t="s">
        <v>18</v>
      </c>
      <c r="F1475" s="19">
        <v>100</v>
      </c>
      <c r="G1475" s="19">
        <v>100</v>
      </c>
      <c r="H1475" s="24">
        <f>IF(G1475/F1475*100&gt;100,100,G1475/F1475*100)</f>
        <v>100</v>
      </c>
      <c r="I1475" s="19"/>
      <c r="J1475" s="129"/>
      <c r="K1475" s="41"/>
      <c r="L1475" s="19"/>
      <c r="M1475" s="122"/>
      <c r="N1475" s="122"/>
      <c r="O1475" s="24"/>
      <c r="P1475" s="468"/>
      <c r="Q1475" s="35"/>
      <c r="R1475" s="19"/>
      <c r="S1475" s="557"/>
      <c r="T1475" s="2"/>
    </row>
    <row r="1476" spans="1:20" s="1" customFormat="1" ht="55.5" customHeight="1" x14ac:dyDescent="0.35">
      <c r="A1476" s="605"/>
      <c r="B1476" s="541"/>
      <c r="C1476" s="19" t="s">
        <v>34</v>
      </c>
      <c r="D1476" s="41" t="s">
        <v>108</v>
      </c>
      <c r="E1476" s="19" t="s">
        <v>18</v>
      </c>
      <c r="F1476" s="19">
        <v>100</v>
      </c>
      <c r="G1476" s="19">
        <v>100</v>
      </c>
      <c r="H1476" s="24">
        <f>IF(G1476/F1476*100&gt;100,100,G1476/F1476*100)</f>
        <v>100</v>
      </c>
      <c r="I1476" s="19"/>
      <c r="J1476" s="129"/>
      <c r="K1476" s="41"/>
      <c r="L1476" s="19"/>
      <c r="M1476" s="122"/>
      <c r="N1476" s="122"/>
      <c r="O1476" s="24"/>
      <c r="P1476" s="468"/>
      <c r="Q1476" s="35"/>
      <c r="R1476" s="19"/>
      <c r="S1476" s="557"/>
      <c r="T1476" s="2"/>
    </row>
    <row r="1477" spans="1:20" s="1" customFormat="1" ht="69" customHeight="1" x14ac:dyDescent="0.35">
      <c r="A1477" s="605"/>
      <c r="B1477" s="541"/>
      <c r="C1477" s="19" t="s">
        <v>78</v>
      </c>
      <c r="D1477" s="41" t="s">
        <v>17</v>
      </c>
      <c r="E1477" s="19" t="s">
        <v>18</v>
      </c>
      <c r="F1477" s="19">
        <v>90</v>
      </c>
      <c r="G1477" s="19">
        <v>100</v>
      </c>
      <c r="H1477" s="24">
        <f>IF(G1477/F1477*100&gt;100,100,G1477/F1477*100)</f>
        <v>100</v>
      </c>
      <c r="I1477" s="19"/>
      <c r="J1477" s="129"/>
      <c r="K1477" s="41"/>
      <c r="L1477" s="19"/>
      <c r="M1477" s="122"/>
      <c r="N1477" s="122"/>
      <c r="O1477" s="24"/>
      <c r="P1477" s="468"/>
      <c r="Q1477" s="35"/>
      <c r="R1477" s="19"/>
      <c r="S1477" s="557"/>
      <c r="T1477" s="2"/>
    </row>
    <row r="1478" spans="1:20" s="1" customFormat="1" ht="125.25" customHeight="1" x14ac:dyDescent="0.35">
      <c r="A1478" s="605"/>
      <c r="B1478" s="541"/>
      <c r="C1478" s="19" t="s">
        <v>79</v>
      </c>
      <c r="D1478" s="41" t="s">
        <v>111</v>
      </c>
      <c r="E1478" s="19" t="s">
        <v>18</v>
      </c>
      <c r="F1478" s="19">
        <v>100</v>
      </c>
      <c r="G1478" s="19">
        <v>100</v>
      </c>
      <c r="H1478" s="24">
        <f>IF(G1478/F1478*100&gt;100,100,G1478/F1478*100)</f>
        <v>100</v>
      </c>
      <c r="I1478" s="19"/>
      <c r="J1478" s="129"/>
      <c r="K1478" s="41"/>
      <c r="L1478" s="19"/>
      <c r="M1478" s="122"/>
      <c r="N1478" s="122"/>
      <c r="O1478" s="24"/>
      <c r="P1478" s="468"/>
      <c r="Q1478" s="35"/>
      <c r="R1478" s="19"/>
      <c r="S1478" s="557"/>
      <c r="T1478" s="2"/>
    </row>
    <row r="1479" spans="1:20" s="1" customFormat="1" ht="40.5" customHeight="1" x14ac:dyDescent="0.35">
      <c r="A1479" s="605"/>
      <c r="B1479" s="541"/>
      <c r="C1479" s="465"/>
      <c r="D1479" s="466" t="s">
        <v>644</v>
      </c>
      <c r="E1479" s="465"/>
      <c r="F1479" s="20"/>
      <c r="G1479" s="20"/>
      <c r="H1479" s="18"/>
      <c r="I1479" s="18">
        <f>(H1474+H1475+H1476+H1477+H1478)/5</f>
        <v>100</v>
      </c>
      <c r="J1479" s="128"/>
      <c r="K1479" s="466" t="s">
        <v>644</v>
      </c>
      <c r="L1479" s="20"/>
      <c r="M1479" s="124"/>
      <c r="N1479" s="124"/>
      <c r="O1479" s="18"/>
      <c r="P1479" s="18">
        <f>O1474</f>
        <v>100.49099836333879</v>
      </c>
      <c r="Q1479" s="18">
        <f>(I1479+P1479)/2</f>
        <v>100.2454991816694</v>
      </c>
      <c r="R1479" s="465" t="s">
        <v>25</v>
      </c>
      <c r="S1479" s="557"/>
      <c r="T1479" s="2"/>
    </row>
    <row r="1480" spans="1:20" s="1" customFormat="1" ht="81" customHeight="1" x14ac:dyDescent="0.35">
      <c r="A1480" s="605"/>
      <c r="B1480" s="541"/>
      <c r="C1480" s="454" t="s">
        <v>36</v>
      </c>
      <c r="D1480" s="59" t="s">
        <v>116</v>
      </c>
      <c r="E1480" s="19"/>
      <c r="F1480" s="19"/>
      <c r="G1480" s="19"/>
      <c r="H1480" s="35"/>
      <c r="I1480" s="35"/>
      <c r="J1480" s="454" t="s">
        <v>36</v>
      </c>
      <c r="K1480" s="59" t="str">
        <f>D1480</f>
        <v>Реализация основных общеобразовательных программ среднего общего образования</v>
      </c>
      <c r="L1480" s="19"/>
      <c r="M1480" s="122"/>
      <c r="N1480" s="122"/>
      <c r="O1480" s="35"/>
      <c r="P1480" s="468"/>
      <c r="Q1480" s="35"/>
      <c r="R1480" s="19"/>
      <c r="S1480" s="557"/>
      <c r="T1480" s="2"/>
    </row>
    <row r="1481" spans="1:20" s="1" customFormat="1" ht="77.25" customHeight="1" x14ac:dyDescent="0.35">
      <c r="A1481" s="605"/>
      <c r="B1481" s="541"/>
      <c r="C1481" s="19" t="s">
        <v>38</v>
      </c>
      <c r="D1481" s="41" t="s">
        <v>117</v>
      </c>
      <c r="E1481" s="19" t="s">
        <v>18</v>
      </c>
      <c r="F1481" s="19">
        <v>100</v>
      </c>
      <c r="G1481" s="19">
        <v>100</v>
      </c>
      <c r="H1481" s="24">
        <f>IF(G1481/F1481*100&gt;100,100,G1481/F1481*100)</f>
        <v>100</v>
      </c>
      <c r="I1481" s="19"/>
      <c r="J1481" s="129" t="s">
        <v>38</v>
      </c>
      <c r="K1481" s="41" t="s">
        <v>106</v>
      </c>
      <c r="L1481" s="19" t="s">
        <v>20</v>
      </c>
      <c r="M1481" s="19">
        <v>123</v>
      </c>
      <c r="N1481" s="19">
        <v>117</v>
      </c>
      <c r="O1481" s="24">
        <f>IF(N1481/M1481*100&gt;110,110,N1481/M1481*100)</f>
        <v>95.121951219512198</v>
      </c>
      <c r="P1481" s="19"/>
      <c r="Q1481" s="35"/>
      <c r="R1481" s="19"/>
      <c r="S1481" s="557"/>
      <c r="T1481" s="2"/>
    </row>
    <row r="1482" spans="1:20" s="1" customFormat="1" x14ac:dyDescent="0.35">
      <c r="A1482" s="605"/>
      <c r="B1482" s="541"/>
      <c r="C1482" s="19" t="s">
        <v>118</v>
      </c>
      <c r="D1482" s="41" t="s">
        <v>119</v>
      </c>
      <c r="E1482" s="19" t="s">
        <v>18</v>
      </c>
      <c r="F1482" s="19">
        <v>100</v>
      </c>
      <c r="G1482" s="19">
        <v>100</v>
      </c>
      <c r="H1482" s="24">
        <f>IF(G1482/F1482*100&gt;100,100,G1482/F1482*100)</f>
        <v>100</v>
      </c>
      <c r="I1482" s="19"/>
      <c r="J1482" s="129"/>
      <c r="K1482" s="41"/>
      <c r="L1482" s="19"/>
      <c r="M1482" s="122"/>
      <c r="N1482" s="122"/>
      <c r="O1482" s="24"/>
      <c r="P1482" s="468"/>
      <c r="Q1482" s="35"/>
      <c r="R1482" s="19"/>
      <c r="S1482" s="557"/>
      <c r="T1482" s="2"/>
    </row>
    <row r="1483" spans="1:20" s="1" customFormat="1" ht="51.75" customHeight="1" x14ac:dyDescent="0.35">
      <c r="A1483" s="605"/>
      <c r="B1483" s="541"/>
      <c r="C1483" s="19" t="s">
        <v>120</v>
      </c>
      <c r="D1483" s="41" t="s">
        <v>108</v>
      </c>
      <c r="E1483" s="19" t="s">
        <v>18</v>
      </c>
      <c r="F1483" s="19">
        <v>100</v>
      </c>
      <c r="G1483" s="19">
        <v>100</v>
      </c>
      <c r="H1483" s="24">
        <f>IF(G1483/F1483*100&gt;100,100,G1483/F1483*100)</f>
        <v>100</v>
      </c>
      <c r="I1483" s="19"/>
      <c r="J1483" s="129"/>
      <c r="K1483" s="41"/>
      <c r="L1483" s="19"/>
      <c r="M1483" s="122"/>
      <c r="N1483" s="122"/>
      <c r="O1483" s="24"/>
      <c r="P1483" s="468"/>
      <c r="Q1483" s="35"/>
      <c r="R1483" s="19"/>
      <c r="S1483" s="557"/>
      <c r="T1483" s="2"/>
    </row>
    <row r="1484" spans="1:20" s="1" customFormat="1" ht="71.25" customHeight="1" x14ac:dyDescent="0.35">
      <c r="A1484" s="605"/>
      <c r="B1484" s="541"/>
      <c r="C1484" s="19" t="s">
        <v>121</v>
      </c>
      <c r="D1484" s="41" t="s">
        <v>17</v>
      </c>
      <c r="E1484" s="19" t="s">
        <v>18</v>
      </c>
      <c r="F1484" s="19">
        <v>90</v>
      </c>
      <c r="G1484" s="19">
        <v>100</v>
      </c>
      <c r="H1484" s="24">
        <f>IF(G1484/F1484*100&gt;100,100,G1484/F1484*100)</f>
        <v>100</v>
      </c>
      <c r="I1484" s="19"/>
      <c r="J1484" s="129"/>
      <c r="K1484" s="41"/>
      <c r="L1484" s="19"/>
      <c r="M1484" s="122"/>
      <c r="N1484" s="122"/>
      <c r="O1484" s="24"/>
      <c r="P1484" s="468"/>
      <c r="Q1484" s="35"/>
      <c r="R1484" s="19"/>
      <c r="S1484" s="557"/>
      <c r="T1484" s="2"/>
    </row>
    <row r="1485" spans="1:20" s="1" customFormat="1" ht="125.25" customHeight="1" x14ac:dyDescent="0.35">
      <c r="A1485" s="605"/>
      <c r="B1485" s="541"/>
      <c r="C1485" s="19" t="s">
        <v>122</v>
      </c>
      <c r="D1485" s="41" t="s">
        <v>111</v>
      </c>
      <c r="E1485" s="19" t="s">
        <v>18</v>
      </c>
      <c r="F1485" s="19">
        <v>100</v>
      </c>
      <c r="G1485" s="19">
        <v>100</v>
      </c>
      <c r="H1485" s="24">
        <f>IF(G1485/F1485*100&gt;100,100,G1485/F1485*100)</f>
        <v>100</v>
      </c>
      <c r="I1485" s="19"/>
      <c r="J1485" s="129"/>
      <c r="K1485" s="41"/>
      <c r="L1485" s="19"/>
      <c r="M1485" s="122"/>
      <c r="N1485" s="122"/>
      <c r="O1485" s="24"/>
      <c r="P1485" s="468"/>
      <c r="Q1485" s="35"/>
      <c r="R1485" s="19"/>
      <c r="S1485" s="557"/>
      <c r="T1485" s="2"/>
    </row>
    <row r="1486" spans="1:20" s="1" customFormat="1" ht="40.5" customHeight="1" x14ac:dyDescent="0.35">
      <c r="A1486" s="605"/>
      <c r="B1486" s="541"/>
      <c r="C1486" s="465"/>
      <c r="D1486" s="466" t="s">
        <v>644</v>
      </c>
      <c r="E1486" s="465"/>
      <c r="F1486" s="20"/>
      <c r="G1486" s="20"/>
      <c r="H1486" s="18"/>
      <c r="I1486" s="18">
        <f>(H1481+H1482+H1483+H1484+H1485)/5</f>
        <v>100</v>
      </c>
      <c r="J1486" s="128"/>
      <c r="K1486" s="466" t="s">
        <v>644</v>
      </c>
      <c r="L1486" s="20"/>
      <c r="M1486" s="124"/>
      <c r="N1486" s="124"/>
      <c r="O1486" s="18"/>
      <c r="P1486" s="18">
        <f>O1481</f>
        <v>95.121951219512198</v>
      </c>
      <c r="Q1486" s="18">
        <f>(I1486+P1486)/2</f>
        <v>97.560975609756099</v>
      </c>
      <c r="R1486" s="465" t="s">
        <v>112</v>
      </c>
      <c r="S1486" s="557"/>
      <c r="T1486" s="2"/>
    </row>
    <row r="1487" spans="1:20" s="1" customFormat="1" x14ac:dyDescent="0.35">
      <c r="A1487" s="605"/>
      <c r="B1487" s="541"/>
      <c r="C1487" s="454" t="s">
        <v>123</v>
      </c>
      <c r="D1487" s="59" t="s">
        <v>27</v>
      </c>
      <c r="E1487" s="19"/>
      <c r="F1487" s="19"/>
      <c r="G1487" s="19"/>
      <c r="H1487" s="35"/>
      <c r="I1487" s="35"/>
      <c r="J1487" s="454" t="s">
        <v>123</v>
      </c>
      <c r="K1487" s="59" t="s">
        <v>27</v>
      </c>
      <c r="L1487" s="19"/>
      <c r="M1487" s="122"/>
      <c r="N1487" s="122"/>
      <c r="O1487" s="35"/>
      <c r="P1487" s="468"/>
      <c r="Q1487" s="35"/>
      <c r="R1487" s="19"/>
      <c r="S1487" s="557"/>
      <c r="T1487" s="2"/>
    </row>
    <row r="1488" spans="1:20" s="1" customFormat="1" ht="49.5" customHeight="1" x14ac:dyDescent="0.35">
      <c r="A1488" s="605"/>
      <c r="B1488" s="541"/>
      <c r="C1488" s="19" t="s">
        <v>124</v>
      </c>
      <c r="D1488" s="41" t="s">
        <v>125</v>
      </c>
      <c r="E1488" s="19" t="s">
        <v>18</v>
      </c>
      <c r="F1488" s="19">
        <v>100</v>
      </c>
      <c r="G1488" s="19">
        <v>100</v>
      </c>
      <c r="H1488" s="24">
        <f>IF(G1488/F1488*100&gt;100,100,G1488/F1488*100)</f>
        <v>100</v>
      </c>
      <c r="I1488" s="19"/>
      <c r="J1488" s="129" t="s">
        <v>124</v>
      </c>
      <c r="K1488" s="41" t="s">
        <v>106</v>
      </c>
      <c r="L1488" s="19" t="s">
        <v>20</v>
      </c>
      <c r="M1488" s="19">
        <v>144</v>
      </c>
      <c r="N1488" s="19">
        <v>144</v>
      </c>
      <c r="O1488" s="24">
        <f>IF(N1488/M1488*100&gt;110,110,N1488/M1488*100)</f>
        <v>100</v>
      </c>
      <c r="P1488" s="468"/>
      <c r="Q1488" s="35"/>
      <c r="R1488" s="19"/>
      <c r="S1488" s="557"/>
      <c r="T1488" s="2"/>
    </row>
    <row r="1489" spans="1:20" s="1" customFormat="1" ht="80.25" customHeight="1" x14ac:dyDescent="0.35">
      <c r="A1489" s="605"/>
      <c r="B1489" s="541"/>
      <c r="C1489" s="19" t="s">
        <v>127</v>
      </c>
      <c r="D1489" s="41" t="s">
        <v>128</v>
      </c>
      <c r="E1489" s="19" t="s">
        <v>18</v>
      </c>
      <c r="F1489" s="19">
        <v>90</v>
      </c>
      <c r="G1489" s="19">
        <v>90</v>
      </c>
      <c r="H1489" s="24">
        <f>IF(G1489/F1489*100&gt;100,100,G1489/F1489*100)</f>
        <v>100</v>
      </c>
      <c r="I1489" s="19"/>
      <c r="J1489" s="129"/>
      <c r="K1489" s="41"/>
      <c r="L1489" s="19"/>
      <c r="M1489" s="122"/>
      <c r="N1489" s="122"/>
      <c r="O1489" s="24"/>
      <c r="P1489" s="468"/>
      <c r="Q1489" s="35"/>
      <c r="R1489" s="19"/>
      <c r="S1489" s="557"/>
      <c r="T1489" s="2"/>
    </row>
    <row r="1490" spans="1:20" s="1" customFormat="1" ht="40.5" customHeight="1" x14ac:dyDescent="0.35">
      <c r="A1490" s="605"/>
      <c r="B1490" s="541"/>
      <c r="C1490" s="465"/>
      <c r="D1490" s="466" t="s">
        <v>644</v>
      </c>
      <c r="E1490" s="465"/>
      <c r="F1490" s="20"/>
      <c r="G1490" s="20"/>
      <c r="H1490" s="18"/>
      <c r="I1490" s="18">
        <f>(H1488+H1489)/2</f>
        <v>100</v>
      </c>
      <c r="J1490" s="128"/>
      <c r="K1490" s="466" t="s">
        <v>644</v>
      </c>
      <c r="L1490" s="20"/>
      <c r="M1490" s="124"/>
      <c r="N1490" s="124"/>
      <c r="O1490" s="18"/>
      <c r="P1490" s="18">
        <f>O1488</f>
        <v>100</v>
      </c>
      <c r="Q1490" s="18">
        <f>(I1490+P1490)/2</f>
        <v>100</v>
      </c>
      <c r="R1490" s="465" t="s">
        <v>25</v>
      </c>
      <c r="S1490" s="557"/>
      <c r="T1490" s="2"/>
    </row>
    <row r="1491" spans="1:20" s="1" customFormat="1" ht="53.25" customHeight="1" x14ac:dyDescent="0.35">
      <c r="A1491" s="605"/>
      <c r="B1491" s="541"/>
      <c r="C1491" s="454" t="s">
        <v>129</v>
      </c>
      <c r="D1491" s="59" t="s">
        <v>130</v>
      </c>
      <c r="E1491" s="19"/>
      <c r="F1491" s="19"/>
      <c r="G1491" s="19"/>
      <c r="H1491" s="35"/>
      <c r="I1491" s="35"/>
      <c r="J1491" s="454" t="s">
        <v>129</v>
      </c>
      <c r="K1491" s="59" t="str">
        <f>D1491</f>
        <v>Реализация дополнительных общеразвивающих программ</v>
      </c>
      <c r="L1491" s="19"/>
      <c r="M1491" s="122"/>
      <c r="N1491" s="122"/>
      <c r="O1491" s="35"/>
      <c r="P1491" s="468"/>
      <c r="Q1491" s="35"/>
      <c r="R1491" s="19"/>
      <c r="S1491" s="557"/>
      <c r="T1491" s="2"/>
    </row>
    <row r="1492" spans="1:20" s="1" customFormat="1" ht="92.25" customHeight="1" x14ac:dyDescent="0.35">
      <c r="A1492" s="605"/>
      <c r="B1492" s="541"/>
      <c r="C1492" s="19" t="s">
        <v>131</v>
      </c>
      <c r="D1492" s="41" t="s">
        <v>128</v>
      </c>
      <c r="E1492" s="19" t="s">
        <v>18</v>
      </c>
      <c r="F1492" s="19">
        <v>90</v>
      </c>
      <c r="G1492" s="19">
        <v>90</v>
      </c>
      <c r="H1492" s="24">
        <f>IF(G1492/F1492*100&gt;100,100,G1492/F1492*100)</f>
        <v>100</v>
      </c>
      <c r="I1492" s="19"/>
      <c r="J1492" s="129" t="str">
        <f>C1492</f>
        <v>5.1.</v>
      </c>
      <c r="K1492" s="41" t="s">
        <v>136</v>
      </c>
      <c r="L1492" s="19" t="s">
        <v>139</v>
      </c>
      <c r="M1492" s="19">
        <v>73440</v>
      </c>
      <c r="N1492" s="19">
        <v>74550</v>
      </c>
      <c r="O1492" s="24">
        <f>IF(N1492/M1492*100&gt;110,110,N1492/M1492*100)</f>
        <v>101.51143790849673</v>
      </c>
      <c r="P1492" s="468"/>
      <c r="Q1492" s="35"/>
      <c r="R1492" s="19"/>
      <c r="S1492" s="557"/>
      <c r="T1492" s="2"/>
    </row>
    <row r="1493" spans="1:20" s="1" customFormat="1" ht="41.25" customHeight="1" x14ac:dyDescent="0.35">
      <c r="A1493" s="605"/>
      <c r="B1493" s="541"/>
      <c r="C1493" s="465"/>
      <c r="D1493" s="466" t="s">
        <v>644</v>
      </c>
      <c r="E1493" s="465"/>
      <c r="F1493" s="20"/>
      <c r="G1493" s="20"/>
      <c r="H1493" s="18"/>
      <c r="I1493" s="18">
        <f>H1492</f>
        <v>100</v>
      </c>
      <c r="J1493" s="128"/>
      <c r="K1493" s="466" t="s">
        <v>644</v>
      </c>
      <c r="L1493" s="20"/>
      <c r="M1493" s="124"/>
      <c r="N1493" s="124"/>
      <c r="O1493" s="18"/>
      <c r="P1493" s="18">
        <f>O1492</f>
        <v>101.51143790849673</v>
      </c>
      <c r="Q1493" s="18">
        <f>(I1493+P1493)/2</f>
        <v>100.75571895424837</v>
      </c>
      <c r="R1493" s="465" t="s">
        <v>25</v>
      </c>
      <c r="S1493" s="557"/>
      <c r="T1493" s="2"/>
    </row>
    <row r="1494" spans="1:20" s="1" customFormat="1" ht="84.75" customHeight="1" x14ac:dyDescent="0.35">
      <c r="A1494" s="605">
        <v>68</v>
      </c>
      <c r="B1494" s="541" t="s">
        <v>201</v>
      </c>
      <c r="C1494" s="454" t="s">
        <v>13</v>
      </c>
      <c r="D1494" s="59" t="s">
        <v>103</v>
      </c>
      <c r="E1494" s="454"/>
      <c r="F1494" s="454"/>
      <c r="G1494" s="454"/>
      <c r="H1494" s="35"/>
      <c r="I1494" s="35"/>
      <c r="J1494" s="454" t="s">
        <v>13</v>
      </c>
      <c r="K1494" s="59" t="s">
        <v>103</v>
      </c>
      <c r="L1494" s="19"/>
      <c r="M1494" s="19"/>
      <c r="N1494" s="19"/>
      <c r="O1494" s="35"/>
      <c r="P1494" s="468"/>
      <c r="Q1494" s="35"/>
      <c r="R1494" s="19"/>
      <c r="S1494" s="557" t="s">
        <v>104</v>
      </c>
      <c r="T1494" s="2"/>
    </row>
    <row r="1495" spans="1:20" s="1" customFormat="1" ht="70.5" customHeight="1" x14ac:dyDescent="0.35">
      <c r="A1495" s="605"/>
      <c r="B1495" s="541"/>
      <c r="C1495" s="19" t="s">
        <v>16</v>
      </c>
      <c r="D1495" s="41" t="s">
        <v>105</v>
      </c>
      <c r="E1495" s="19" t="s">
        <v>18</v>
      </c>
      <c r="F1495" s="19">
        <v>100</v>
      </c>
      <c r="G1495" s="19">
        <v>100</v>
      </c>
      <c r="H1495" s="24">
        <f>IF(G1495/F1495*100&gt;100,100,G1495/F1495*100)</f>
        <v>100</v>
      </c>
      <c r="I1495" s="19"/>
      <c r="J1495" s="19" t="s">
        <v>16</v>
      </c>
      <c r="K1495" s="41" t="s">
        <v>106</v>
      </c>
      <c r="L1495" s="19" t="s">
        <v>20</v>
      </c>
      <c r="M1495" s="19">
        <v>276</v>
      </c>
      <c r="N1495" s="19">
        <v>273</v>
      </c>
      <c r="O1495" s="24">
        <f>IF(N1495/M1495*100&gt;110,110,N1495/M1495*100)</f>
        <v>98.91304347826086</v>
      </c>
      <c r="P1495" s="468"/>
      <c r="Q1495" s="35"/>
      <c r="R1495" s="19"/>
      <c r="S1495" s="557"/>
      <c r="T1495" s="2"/>
    </row>
    <row r="1496" spans="1:20" s="1" customFormat="1" x14ac:dyDescent="0.35">
      <c r="A1496" s="605"/>
      <c r="B1496" s="541"/>
      <c r="C1496" s="19" t="s">
        <v>21</v>
      </c>
      <c r="D1496" s="41" t="s">
        <v>135</v>
      </c>
      <c r="E1496" s="19" t="s">
        <v>18</v>
      </c>
      <c r="F1496" s="19">
        <v>100</v>
      </c>
      <c r="G1496" s="19">
        <v>100</v>
      </c>
      <c r="H1496" s="24">
        <f>IF(G1496/F1496*100&gt;100,100,G1496/F1496*100)</f>
        <v>100</v>
      </c>
      <c r="I1496" s="19"/>
      <c r="J1496" s="19"/>
      <c r="K1496" s="455"/>
      <c r="L1496" s="19"/>
      <c r="M1496" s="476"/>
      <c r="N1496" s="476"/>
      <c r="O1496" s="24"/>
      <c r="P1496" s="468"/>
      <c r="Q1496" s="35"/>
      <c r="R1496" s="19"/>
      <c r="S1496" s="557"/>
      <c r="T1496" s="2"/>
    </row>
    <row r="1497" spans="1:20" s="1" customFormat="1" ht="57" customHeight="1" x14ac:dyDescent="0.35">
      <c r="A1497" s="605"/>
      <c r="B1497" s="541"/>
      <c r="C1497" s="19" t="s">
        <v>23</v>
      </c>
      <c r="D1497" s="41" t="s">
        <v>108</v>
      </c>
      <c r="E1497" s="19" t="s">
        <v>18</v>
      </c>
      <c r="F1497" s="19">
        <v>100</v>
      </c>
      <c r="G1497" s="19">
        <v>100</v>
      </c>
      <c r="H1497" s="24">
        <f>IF(G1497/F1497*100&gt;100,100,G1497/F1497*100)</f>
        <v>100</v>
      </c>
      <c r="I1497" s="19"/>
      <c r="J1497" s="129"/>
      <c r="K1497" s="41"/>
      <c r="L1497" s="19"/>
      <c r="M1497" s="122"/>
      <c r="N1497" s="122"/>
      <c r="O1497" s="24"/>
      <c r="P1497" s="468"/>
      <c r="Q1497" s="35"/>
      <c r="R1497" s="19"/>
      <c r="S1497" s="557"/>
      <c r="T1497" s="2"/>
    </row>
    <row r="1498" spans="1:20" s="1" customFormat="1" ht="71.25" customHeight="1" x14ac:dyDescent="0.35">
      <c r="A1498" s="605"/>
      <c r="B1498" s="541"/>
      <c r="C1498" s="19" t="s">
        <v>109</v>
      </c>
      <c r="D1498" s="41" t="s">
        <v>17</v>
      </c>
      <c r="E1498" s="19" t="s">
        <v>18</v>
      </c>
      <c r="F1498" s="19">
        <v>90</v>
      </c>
      <c r="G1498" s="19">
        <v>100</v>
      </c>
      <c r="H1498" s="24">
        <f>IF(G1498/F1498*100&gt;100,100,G1498/F1498*100)</f>
        <v>100</v>
      </c>
      <c r="I1498" s="19"/>
      <c r="J1498" s="129"/>
      <c r="K1498" s="41"/>
      <c r="L1498" s="19"/>
      <c r="M1498" s="122"/>
      <c r="N1498" s="122"/>
      <c r="O1498" s="24"/>
      <c r="P1498" s="468"/>
      <c r="Q1498" s="35"/>
      <c r="R1498" s="19"/>
      <c r="S1498" s="557"/>
      <c r="T1498" s="2"/>
    </row>
    <row r="1499" spans="1:20" s="1" customFormat="1" ht="127.5" customHeight="1" x14ac:dyDescent="0.35">
      <c r="A1499" s="605"/>
      <c r="B1499" s="541"/>
      <c r="C1499" s="19" t="s">
        <v>110</v>
      </c>
      <c r="D1499" s="41" t="s">
        <v>111</v>
      </c>
      <c r="E1499" s="19" t="s">
        <v>18</v>
      </c>
      <c r="F1499" s="19">
        <v>100</v>
      </c>
      <c r="G1499" s="19">
        <v>100</v>
      </c>
      <c r="H1499" s="24">
        <f>IF(G1499/F1499*100&gt;100,100,G1499/F1499*100)</f>
        <v>100</v>
      </c>
      <c r="I1499" s="19"/>
      <c r="J1499" s="129"/>
      <c r="K1499" s="41"/>
      <c r="L1499" s="19"/>
      <c r="M1499" s="122"/>
      <c r="N1499" s="122"/>
      <c r="O1499" s="24"/>
      <c r="P1499" s="468"/>
      <c r="Q1499" s="35"/>
      <c r="R1499" s="19"/>
      <c r="S1499" s="557"/>
      <c r="T1499" s="2"/>
    </row>
    <row r="1500" spans="1:20" s="1" customFormat="1" ht="40.5" customHeight="1" x14ac:dyDescent="0.35">
      <c r="A1500" s="605"/>
      <c r="B1500" s="541"/>
      <c r="C1500" s="465"/>
      <c r="D1500" s="466" t="s">
        <v>644</v>
      </c>
      <c r="E1500" s="465"/>
      <c r="F1500" s="20"/>
      <c r="G1500" s="20"/>
      <c r="H1500" s="18"/>
      <c r="I1500" s="18">
        <f>(H1495+H1496+H1497+H1498+H1499)/5</f>
        <v>100</v>
      </c>
      <c r="J1500" s="128"/>
      <c r="K1500" s="466" t="s">
        <v>644</v>
      </c>
      <c r="L1500" s="20"/>
      <c r="M1500" s="124"/>
      <c r="N1500" s="124"/>
      <c r="O1500" s="18"/>
      <c r="P1500" s="18">
        <f>O1495</f>
        <v>98.91304347826086</v>
      </c>
      <c r="Q1500" s="18">
        <f>(I1500+P1500)/2</f>
        <v>99.456521739130437</v>
      </c>
      <c r="R1500" s="465" t="s">
        <v>112</v>
      </c>
      <c r="S1500" s="557"/>
      <c r="T1500" s="2"/>
    </row>
    <row r="1501" spans="1:20" s="1" customFormat="1" ht="69.75" customHeight="1" x14ac:dyDescent="0.35">
      <c r="A1501" s="605"/>
      <c r="B1501" s="541"/>
      <c r="C1501" s="454" t="s">
        <v>26</v>
      </c>
      <c r="D1501" s="59" t="s">
        <v>113</v>
      </c>
      <c r="E1501" s="19"/>
      <c r="F1501" s="19"/>
      <c r="G1501" s="19"/>
      <c r="H1501" s="35"/>
      <c r="I1501" s="35"/>
      <c r="J1501" s="454" t="s">
        <v>26</v>
      </c>
      <c r="K1501" s="59" t="s">
        <v>113</v>
      </c>
      <c r="L1501" s="19"/>
      <c r="M1501" s="122"/>
      <c r="N1501" s="122"/>
      <c r="O1501" s="35"/>
      <c r="P1501" s="468"/>
      <c r="Q1501" s="35"/>
      <c r="R1501" s="19"/>
      <c r="S1501" s="557"/>
      <c r="T1501" s="2"/>
    </row>
    <row r="1502" spans="1:20" s="1" customFormat="1" ht="69.75" customHeight="1" x14ac:dyDescent="0.35">
      <c r="A1502" s="605"/>
      <c r="B1502" s="541"/>
      <c r="C1502" s="19" t="s">
        <v>28</v>
      </c>
      <c r="D1502" s="41" t="s">
        <v>114</v>
      </c>
      <c r="E1502" s="19" t="s">
        <v>18</v>
      </c>
      <c r="F1502" s="19">
        <v>100</v>
      </c>
      <c r="G1502" s="19">
        <v>100</v>
      </c>
      <c r="H1502" s="24">
        <f>IF(G1502/F1502*100&gt;100,100,G1502/F1502*100)</f>
        <v>100</v>
      </c>
      <c r="I1502" s="19"/>
      <c r="J1502" s="129" t="s">
        <v>28</v>
      </c>
      <c r="K1502" s="41" t="s">
        <v>106</v>
      </c>
      <c r="L1502" s="19" t="s">
        <v>20</v>
      </c>
      <c r="M1502" s="19">
        <v>327</v>
      </c>
      <c r="N1502" s="19">
        <v>330</v>
      </c>
      <c r="O1502" s="24">
        <f>IF(N1502/M1502*100&gt;110,110,N1502/M1502*100)</f>
        <v>100.91743119266054</v>
      </c>
      <c r="P1502" s="19"/>
      <c r="Q1502" s="35"/>
      <c r="R1502" s="19"/>
      <c r="S1502" s="557"/>
      <c r="T1502" s="2"/>
    </row>
    <row r="1503" spans="1:20" s="1" customFormat="1" x14ac:dyDescent="0.35">
      <c r="A1503" s="605"/>
      <c r="B1503" s="541"/>
      <c r="C1503" s="19" t="s">
        <v>30</v>
      </c>
      <c r="D1503" s="41" t="s">
        <v>115</v>
      </c>
      <c r="E1503" s="19" t="s">
        <v>18</v>
      </c>
      <c r="F1503" s="19">
        <v>100</v>
      </c>
      <c r="G1503" s="19">
        <v>100</v>
      </c>
      <c r="H1503" s="24">
        <f>IF(G1503/F1503*100&gt;100,100,G1503/F1503*100)</f>
        <v>100</v>
      </c>
      <c r="I1503" s="19"/>
      <c r="J1503" s="129"/>
      <c r="K1503" s="41"/>
      <c r="L1503" s="19"/>
      <c r="M1503" s="122"/>
      <c r="N1503" s="122"/>
      <c r="O1503" s="24"/>
      <c r="P1503" s="468"/>
      <c r="Q1503" s="35"/>
      <c r="R1503" s="19"/>
      <c r="S1503" s="557"/>
      <c r="T1503" s="2"/>
    </row>
    <row r="1504" spans="1:20" s="1" customFormat="1" ht="61.5" customHeight="1" x14ac:dyDescent="0.35">
      <c r="A1504" s="605"/>
      <c r="B1504" s="541"/>
      <c r="C1504" s="19" t="s">
        <v>34</v>
      </c>
      <c r="D1504" s="41" t="s">
        <v>108</v>
      </c>
      <c r="E1504" s="19" t="s">
        <v>18</v>
      </c>
      <c r="F1504" s="19">
        <v>100</v>
      </c>
      <c r="G1504" s="19">
        <v>100</v>
      </c>
      <c r="H1504" s="24">
        <f>IF(G1504/F1504*100&gt;100,100,G1504/F1504*100)</f>
        <v>100</v>
      </c>
      <c r="I1504" s="19"/>
      <c r="J1504" s="129"/>
      <c r="K1504" s="41"/>
      <c r="L1504" s="19"/>
      <c r="M1504" s="122"/>
      <c r="N1504" s="122"/>
      <c r="O1504" s="24"/>
      <c r="P1504" s="468"/>
      <c r="Q1504" s="35"/>
      <c r="R1504" s="19"/>
      <c r="S1504" s="557"/>
      <c r="T1504" s="2"/>
    </row>
    <row r="1505" spans="1:20" s="1" customFormat="1" ht="75.75" customHeight="1" x14ac:dyDescent="0.35">
      <c r="A1505" s="605"/>
      <c r="B1505" s="541"/>
      <c r="C1505" s="19" t="s">
        <v>78</v>
      </c>
      <c r="D1505" s="41" t="s">
        <v>17</v>
      </c>
      <c r="E1505" s="19" t="s">
        <v>18</v>
      </c>
      <c r="F1505" s="19">
        <v>90</v>
      </c>
      <c r="G1505" s="19">
        <v>100</v>
      </c>
      <c r="H1505" s="24">
        <f>IF(G1505/F1505*100&gt;100,100,G1505/F1505*100)</f>
        <v>100</v>
      </c>
      <c r="I1505" s="19"/>
      <c r="J1505" s="129"/>
      <c r="K1505" s="41"/>
      <c r="L1505" s="19"/>
      <c r="M1505" s="122"/>
      <c r="N1505" s="122"/>
      <c r="O1505" s="24"/>
      <c r="P1505" s="468"/>
      <c r="Q1505" s="35"/>
      <c r="R1505" s="19"/>
      <c r="S1505" s="557"/>
      <c r="T1505" s="2"/>
    </row>
    <row r="1506" spans="1:20" s="1" customFormat="1" ht="124.5" customHeight="1" x14ac:dyDescent="0.35">
      <c r="A1506" s="605"/>
      <c r="B1506" s="541"/>
      <c r="C1506" s="19" t="s">
        <v>79</v>
      </c>
      <c r="D1506" s="41" t="s">
        <v>111</v>
      </c>
      <c r="E1506" s="19" t="s">
        <v>18</v>
      </c>
      <c r="F1506" s="19">
        <v>100</v>
      </c>
      <c r="G1506" s="19">
        <v>100</v>
      </c>
      <c r="H1506" s="24">
        <f>IF(G1506/F1506*100&gt;100,100,G1506/F1506*100)</f>
        <v>100</v>
      </c>
      <c r="I1506" s="19"/>
      <c r="J1506" s="129"/>
      <c r="K1506" s="41"/>
      <c r="L1506" s="19"/>
      <c r="M1506" s="122"/>
      <c r="N1506" s="122"/>
      <c r="O1506" s="24"/>
      <c r="P1506" s="468"/>
      <c r="Q1506" s="35"/>
      <c r="R1506" s="19"/>
      <c r="S1506" s="557"/>
      <c r="T1506" s="2"/>
    </row>
    <row r="1507" spans="1:20" s="1" customFormat="1" ht="40.5" customHeight="1" x14ac:dyDescent="0.35">
      <c r="A1507" s="605"/>
      <c r="B1507" s="541"/>
      <c r="C1507" s="465"/>
      <c r="D1507" s="466" t="s">
        <v>644</v>
      </c>
      <c r="E1507" s="465"/>
      <c r="F1507" s="20"/>
      <c r="G1507" s="20"/>
      <c r="H1507" s="18"/>
      <c r="I1507" s="18">
        <f>(H1502+H1503+H1504+H1505+H1506)/5</f>
        <v>100</v>
      </c>
      <c r="J1507" s="128"/>
      <c r="K1507" s="466" t="s">
        <v>644</v>
      </c>
      <c r="L1507" s="20"/>
      <c r="M1507" s="124"/>
      <c r="N1507" s="124"/>
      <c r="O1507" s="18"/>
      <c r="P1507" s="18">
        <f>O1502</f>
        <v>100.91743119266054</v>
      </c>
      <c r="Q1507" s="18">
        <f>(I1507+P1507)/2</f>
        <v>100.45871559633028</v>
      </c>
      <c r="R1507" s="465" t="s">
        <v>25</v>
      </c>
      <c r="S1507" s="557"/>
      <c r="T1507" s="2"/>
    </row>
    <row r="1508" spans="1:20" s="1" customFormat="1" ht="73.5" customHeight="1" x14ac:dyDescent="0.35">
      <c r="A1508" s="605"/>
      <c r="B1508" s="541"/>
      <c r="C1508" s="454" t="s">
        <v>36</v>
      </c>
      <c r="D1508" s="59" t="s">
        <v>116</v>
      </c>
      <c r="E1508" s="19"/>
      <c r="F1508" s="19"/>
      <c r="G1508" s="19"/>
      <c r="H1508" s="35"/>
      <c r="I1508" s="35"/>
      <c r="J1508" s="454" t="s">
        <v>36</v>
      </c>
      <c r="K1508" s="59" t="str">
        <f>D1508</f>
        <v>Реализация основных общеобразовательных программ среднего общего образования</v>
      </c>
      <c r="L1508" s="19"/>
      <c r="M1508" s="122"/>
      <c r="N1508" s="122"/>
      <c r="O1508" s="35"/>
      <c r="P1508" s="468"/>
      <c r="Q1508" s="35"/>
      <c r="R1508" s="19"/>
      <c r="S1508" s="557"/>
      <c r="T1508" s="2"/>
    </row>
    <row r="1509" spans="1:20" s="1" customFormat="1" ht="73.5" customHeight="1" x14ac:dyDescent="0.35">
      <c r="A1509" s="605"/>
      <c r="B1509" s="541"/>
      <c r="C1509" s="19" t="s">
        <v>38</v>
      </c>
      <c r="D1509" s="41" t="s">
        <v>117</v>
      </c>
      <c r="E1509" s="19" t="s">
        <v>18</v>
      </c>
      <c r="F1509" s="19">
        <v>100</v>
      </c>
      <c r="G1509" s="19">
        <v>100</v>
      </c>
      <c r="H1509" s="24">
        <f>IF(G1509/F1509*100&gt;100,100,G1509/F1509*100)</f>
        <v>100</v>
      </c>
      <c r="I1509" s="19"/>
      <c r="J1509" s="129" t="s">
        <v>38</v>
      </c>
      <c r="K1509" s="41" t="s">
        <v>106</v>
      </c>
      <c r="L1509" s="19" t="s">
        <v>20</v>
      </c>
      <c r="M1509" s="19">
        <v>54</v>
      </c>
      <c r="N1509" s="19">
        <v>53</v>
      </c>
      <c r="O1509" s="24">
        <f>IF(N1509/M1509*100&gt;110,110,N1509/M1509*100)</f>
        <v>98.148148148148152</v>
      </c>
      <c r="P1509" s="19"/>
      <c r="Q1509" s="35"/>
      <c r="R1509" s="19"/>
      <c r="S1509" s="557"/>
      <c r="T1509" s="2"/>
    </row>
    <row r="1510" spans="1:20" s="1" customFormat="1" x14ac:dyDescent="0.35">
      <c r="A1510" s="605"/>
      <c r="B1510" s="541"/>
      <c r="C1510" s="19" t="s">
        <v>118</v>
      </c>
      <c r="D1510" s="41" t="s">
        <v>119</v>
      </c>
      <c r="E1510" s="19" t="s">
        <v>18</v>
      </c>
      <c r="F1510" s="19">
        <v>100</v>
      </c>
      <c r="G1510" s="19">
        <v>100</v>
      </c>
      <c r="H1510" s="24">
        <f>IF(G1510/F1510*100&gt;100,100,G1510/F1510*100)</f>
        <v>100</v>
      </c>
      <c r="I1510" s="19"/>
      <c r="J1510" s="129"/>
      <c r="K1510" s="41"/>
      <c r="L1510" s="19"/>
      <c r="M1510" s="122"/>
      <c r="N1510" s="122"/>
      <c r="O1510" s="24"/>
      <c r="P1510" s="468"/>
      <c r="Q1510" s="35"/>
      <c r="R1510" s="19"/>
      <c r="S1510" s="557"/>
      <c r="T1510" s="2"/>
    </row>
    <row r="1511" spans="1:20" s="1" customFormat="1" ht="43.5" customHeight="1" x14ac:dyDescent="0.35">
      <c r="A1511" s="605"/>
      <c r="B1511" s="541"/>
      <c r="C1511" s="19" t="s">
        <v>120</v>
      </c>
      <c r="D1511" s="41" t="s">
        <v>108</v>
      </c>
      <c r="E1511" s="19" t="s">
        <v>18</v>
      </c>
      <c r="F1511" s="19">
        <v>100</v>
      </c>
      <c r="G1511" s="19">
        <v>100</v>
      </c>
      <c r="H1511" s="24">
        <f>IF(G1511/F1511*100&gt;100,100,G1511/F1511*100)</f>
        <v>100</v>
      </c>
      <c r="I1511" s="19"/>
      <c r="J1511" s="129"/>
      <c r="K1511" s="41"/>
      <c r="L1511" s="19"/>
      <c r="M1511" s="122"/>
      <c r="N1511" s="122"/>
      <c r="O1511" s="24"/>
      <c r="P1511" s="468"/>
      <c r="Q1511" s="35"/>
      <c r="R1511" s="19"/>
      <c r="S1511" s="557"/>
      <c r="T1511" s="2"/>
    </row>
    <row r="1512" spans="1:20" s="1" customFormat="1" ht="72.75" customHeight="1" x14ac:dyDescent="0.35">
      <c r="A1512" s="605"/>
      <c r="B1512" s="541"/>
      <c r="C1512" s="19" t="s">
        <v>121</v>
      </c>
      <c r="D1512" s="41" t="s">
        <v>17</v>
      </c>
      <c r="E1512" s="19" t="s">
        <v>18</v>
      </c>
      <c r="F1512" s="19">
        <v>90</v>
      </c>
      <c r="G1512" s="19">
        <v>100</v>
      </c>
      <c r="H1512" s="24">
        <f>IF(G1512/F1512*100&gt;100,100,G1512/F1512*100)</f>
        <v>100</v>
      </c>
      <c r="I1512" s="19"/>
      <c r="J1512" s="129"/>
      <c r="K1512" s="41"/>
      <c r="L1512" s="19"/>
      <c r="M1512" s="122"/>
      <c r="N1512" s="122"/>
      <c r="O1512" s="24"/>
      <c r="P1512" s="468"/>
      <c r="Q1512" s="35"/>
      <c r="R1512" s="19"/>
      <c r="S1512" s="557"/>
      <c r="T1512" s="2"/>
    </row>
    <row r="1513" spans="1:20" s="1" customFormat="1" ht="124.5" customHeight="1" x14ac:dyDescent="0.35">
      <c r="A1513" s="605"/>
      <c r="B1513" s="541"/>
      <c r="C1513" s="19" t="s">
        <v>122</v>
      </c>
      <c r="D1513" s="41" t="s">
        <v>111</v>
      </c>
      <c r="E1513" s="19" t="s">
        <v>18</v>
      </c>
      <c r="F1513" s="19">
        <v>100</v>
      </c>
      <c r="G1513" s="19">
        <v>100</v>
      </c>
      <c r="H1513" s="24">
        <f>IF(G1513/F1513*100&gt;100,100,G1513/F1513*100)</f>
        <v>100</v>
      </c>
      <c r="I1513" s="19"/>
      <c r="J1513" s="129"/>
      <c r="K1513" s="41"/>
      <c r="L1513" s="19"/>
      <c r="M1513" s="122"/>
      <c r="N1513" s="122"/>
      <c r="O1513" s="24"/>
      <c r="P1513" s="468"/>
      <c r="Q1513" s="35"/>
      <c r="R1513" s="19"/>
      <c r="S1513" s="557"/>
      <c r="T1513" s="2"/>
    </row>
    <row r="1514" spans="1:20" s="1" customFormat="1" ht="40.5" customHeight="1" x14ac:dyDescent="0.35">
      <c r="A1514" s="605"/>
      <c r="B1514" s="541"/>
      <c r="C1514" s="465"/>
      <c r="D1514" s="466" t="s">
        <v>644</v>
      </c>
      <c r="E1514" s="465"/>
      <c r="F1514" s="20"/>
      <c r="G1514" s="20"/>
      <c r="H1514" s="18"/>
      <c r="I1514" s="18">
        <f>(H1509+H1510+H1511+H1512+H1513)/5</f>
        <v>100</v>
      </c>
      <c r="J1514" s="128"/>
      <c r="K1514" s="466" t="s">
        <v>644</v>
      </c>
      <c r="L1514" s="20"/>
      <c r="M1514" s="124"/>
      <c r="N1514" s="124"/>
      <c r="O1514" s="18"/>
      <c r="P1514" s="18">
        <f>O1509</f>
        <v>98.148148148148152</v>
      </c>
      <c r="Q1514" s="18">
        <f>(I1514+P1514)/2</f>
        <v>99.074074074074076</v>
      </c>
      <c r="R1514" s="465" t="s">
        <v>112</v>
      </c>
      <c r="S1514" s="557"/>
      <c r="T1514" s="2"/>
    </row>
    <row r="1515" spans="1:20" s="1" customFormat="1" ht="40.5" customHeight="1" x14ac:dyDescent="0.35">
      <c r="A1515" s="605"/>
      <c r="B1515" s="541"/>
      <c r="C1515" s="454" t="s">
        <v>123</v>
      </c>
      <c r="D1515" s="59" t="s">
        <v>27</v>
      </c>
      <c r="E1515" s="19"/>
      <c r="F1515" s="19"/>
      <c r="G1515" s="19"/>
      <c r="H1515" s="35"/>
      <c r="I1515" s="35"/>
      <c r="J1515" s="454" t="s">
        <v>123</v>
      </c>
      <c r="K1515" s="59" t="s">
        <v>27</v>
      </c>
      <c r="L1515" s="19"/>
      <c r="M1515" s="122"/>
      <c r="N1515" s="122"/>
      <c r="O1515" s="35"/>
      <c r="P1515" s="468"/>
      <c r="Q1515" s="35"/>
      <c r="R1515" s="19"/>
      <c r="S1515" s="557"/>
      <c r="T1515" s="2"/>
    </row>
    <row r="1516" spans="1:20" s="1" customFormat="1" ht="40.5" customHeight="1" x14ac:dyDescent="0.35">
      <c r="A1516" s="605"/>
      <c r="B1516" s="541"/>
      <c r="C1516" s="19" t="s">
        <v>124</v>
      </c>
      <c r="D1516" s="41" t="s">
        <v>125</v>
      </c>
      <c r="E1516" s="19" t="s">
        <v>18</v>
      </c>
      <c r="F1516" s="19">
        <v>100</v>
      </c>
      <c r="G1516" s="19">
        <v>100</v>
      </c>
      <c r="H1516" s="24">
        <f>IF(G1516/F1516*100&gt;100,100,G1516/F1516*100)</f>
        <v>100</v>
      </c>
      <c r="I1516" s="19"/>
      <c r="J1516" s="129" t="s">
        <v>124</v>
      </c>
      <c r="K1516" s="41" t="s">
        <v>106</v>
      </c>
      <c r="L1516" s="19" t="s">
        <v>20</v>
      </c>
      <c r="M1516" s="19">
        <v>26</v>
      </c>
      <c r="N1516" s="19">
        <v>26</v>
      </c>
      <c r="O1516" s="24">
        <f>IF(N1516/M1516*100&gt;110,110,N1516/M1516*100)</f>
        <v>100</v>
      </c>
      <c r="P1516" s="468"/>
      <c r="Q1516" s="35"/>
      <c r="R1516" s="19"/>
      <c r="S1516" s="557"/>
      <c r="T1516" s="2"/>
    </row>
    <row r="1517" spans="1:20" s="1" customFormat="1" ht="40.5" customHeight="1" x14ac:dyDescent="0.35">
      <c r="A1517" s="605"/>
      <c r="B1517" s="541"/>
      <c r="C1517" s="19" t="s">
        <v>127</v>
      </c>
      <c r="D1517" s="41" t="s">
        <v>128</v>
      </c>
      <c r="E1517" s="19" t="s">
        <v>18</v>
      </c>
      <c r="F1517" s="19">
        <v>90</v>
      </c>
      <c r="G1517" s="19">
        <v>90</v>
      </c>
      <c r="H1517" s="24">
        <f>IF(G1517/F1517*100&gt;100,100,G1517/F1517*100)</f>
        <v>100</v>
      </c>
      <c r="I1517" s="19"/>
      <c r="J1517" s="129"/>
      <c r="K1517" s="41"/>
      <c r="L1517" s="19"/>
      <c r="M1517" s="122"/>
      <c r="N1517" s="122"/>
      <c r="O1517" s="24"/>
      <c r="P1517" s="468"/>
      <c r="Q1517" s="35"/>
      <c r="R1517" s="19"/>
      <c r="S1517" s="557"/>
      <c r="T1517" s="2"/>
    </row>
    <row r="1518" spans="1:20" s="1" customFormat="1" ht="40.5" customHeight="1" x14ac:dyDescent="0.35">
      <c r="A1518" s="605"/>
      <c r="B1518" s="541"/>
      <c r="C1518" s="465"/>
      <c r="D1518" s="466" t="s">
        <v>644</v>
      </c>
      <c r="E1518" s="465"/>
      <c r="F1518" s="20"/>
      <c r="G1518" s="20"/>
      <c r="H1518" s="18"/>
      <c r="I1518" s="18">
        <f>(H1516+H1517)/2</f>
        <v>100</v>
      </c>
      <c r="J1518" s="128"/>
      <c r="K1518" s="466" t="s">
        <v>644</v>
      </c>
      <c r="L1518" s="20"/>
      <c r="M1518" s="124"/>
      <c r="N1518" s="124"/>
      <c r="O1518" s="18"/>
      <c r="P1518" s="18">
        <f>O1516</f>
        <v>100</v>
      </c>
      <c r="Q1518" s="18">
        <f>(I1518+P1518)/2</f>
        <v>100</v>
      </c>
      <c r="R1518" s="465" t="s">
        <v>25</v>
      </c>
      <c r="S1518" s="557"/>
      <c r="T1518" s="2"/>
    </row>
    <row r="1519" spans="1:20" s="217" customFormat="1" ht="54.75" customHeight="1" x14ac:dyDescent="0.35">
      <c r="A1519" s="605"/>
      <c r="B1519" s="541"/>
      <c r="C1519" s="454" t="s">
        <v>129</v>
      </c>
      <c r="D1519" s="59" t="s">
        <v>130</v>
      </c>
      <c r="E1519" s="19"/>
      <c r="F1519" s="19"/>
      <c r="G1519" s="19"/>
      <c r="H1519" s="35"/>
      <c r="I1519" s="35"/>
      <c r="J1519" s="454" t="s">
        <v>129</v>
      </c>
      <c r="K1519" s="59" t="str">
        <f>D1519</f>
        <v>Реализация дополнительных общеразвивающих программ</v>
      </c>
      <c r="L1519" s="19"/>
      <c r="M1519" s="122"/>
      <c r="N1519" s="122"/>
      <c r="O1519" s="35"/>
      <c r="P1519" s="67"/>
      <c r="Q1519" s="35"/>
      <c r="R1519" s="19"/>
      <c r="S1519" s="557"/>
      <c r="T1519" s="216"/>
    </row>
    <row r="1520" spans="1:20" s="217" customFormat="1" ht="84.75" customHeight="1" x14ac:dyDescent="0.35">
      <c r="A1520" s="605"/>
      <c r="B1520" s="541"/>
      <c r="C1520" s="19" t="s">
        <v>131</v>
      </c>
      <c r="D1520" s="41" t="s">
        <v>128</v>
      </c>
      <c r="E1520" s="19" t="s">
        <v>18</v>
      </c>
      <c r="F1520" s="19">
        <v>90</v>
      </c>
      <c r="G1520" s="19">
        <v>90</v>
      </c>
      <c r="H1520" s="24">
        <f>IF(G1520/F1520*100&gt;100,100,G1520/F1520*100)</f>
        <v>100</v>
      </c>
      <c r="I1520" s="19"/>
      <c r="J1520" s="129" t="str">
        <f>C1520</f>
        <v>5.1.</v>
      </c>
      <c r="K1520" s="41" t="s">
        <v>136</v>
      </c>
      <c r="L1520" s="19" t="s">
        <v>139</v>
      </c>
      <c r="M1520" s="19">
        <v>51408</v>
      </c>
      <c r="N1520" s="19">
        <v>54178</v>
      </c>
      <c r="O1520" s="24">
        <f>IF(N1520/M1520*100&gt;110,110,N1520/M1520*100)</f>
        <v>105.38826641767818</v>
      </c>
      <c r="P1520" s="67"/>
      <c r="Q1520" s="35"/>
      <c r="R1520" s="19"/>
      <c r="S1520" s="557"/>
      <c r="T1520" s="216"/>
    </row>
    <row r="1521" spans="1:20" s="1" customFormat="1" ht="42" customHeight="1" x14ac:dyDescent="0.35">
      <c r="A1521" s="605"/>
      <c r="B1521" s="541"/>
      <c r="C1521" s="465"/>
      <c r="D1521" s="466" t="s">
        <v>644</v>
      </c>
      <c r="E1521" s="465"/>
      <c r="F1521" s="20"/>
      <c r="G1521" s="20"/>
      <c r="H1521" s="18"/>
      <c r="I1521" s="18">
        <f>H1520</f>
        <v>100</v>
      </c>
      <c r="J1521" s="128"/>
      <c r="K1521" s="466" t="s">
        <v>644</v>
      </c>
      <c r="L1521" s="20"/>
      <c r="M1521" s="124"/>
      <c r="N1521" s="124"/>
      <c r="O1521" s="18"/>
      <c r="P1521" s="18">
        <f>O1520</f>
        <v>105.38826641767818</v>
      </c>
      <c r="Q1521" s="18">
        <f>(I1521+P1521)/2</f>
        <v>102.69413320883909</v>
      </c>
      <c r="R1521" s="465" t="s">
        <v>25</v>
      </c>
      <c r="S1521" s="557"/>
      <c r="T1521" s="2"/>
    </row>
    <row r="1522" spans="1:20" s="1" customFormat="1" ht="83.25" customHeight="1" x14ac:dyDescent="0.35">
      <c r="A1522" s="605">
        <v>69</v>
      </c>
      <c r="B1522" s="541" t="s">
        <v>202</v>
      </c>
      <c r="C1522" s="454" t="s">
        <v>13</v>
      </c>
      <c r="D1522" s="59" t="s">
        <v>103</v>
      </c>
      <c r="E1522" s="454"/>
      <c r="F1522" s="454"/>
      <c r="G1522" s="454"/>
      <c r="H1522" s="35"/>
      <c r="I1522" s="35"/>
      <c r="J1522" s="454" t="s">
        <v>13</v>
      </c>
      <c r="K1522" s="59" t="s">
        <v>103</v>
      </c>
      <c r="L1522" s="19"/>
      <c r="M1522" s="19"/>
      <c r="N1522" s="19"/>
      <c r="O1522" s="35"/>
      <c r="P1522" s="468"/>
      <c r="Q1522" s="35"/>
      <c r="R1522" s="19"/>
      <c r="S1522" s="557" t="s">
        <v>104</v>
      </c>
      <c r="T1522" s="2"/>
    </row>
    <row r="1523" spans="1:20" s="1" customFormat="1" ht="75.75" customHeight="1" x14ac:dyDescent="0.35">
      <c r="A1523" s="605"/>
      <c r="B1523" s="541"/>
      <c r="C1523" s="19" t="s">
        <v>16</v>
      </c>
      <c r="D1523" s="41" t="s">
        <v>105</v>
      </c>
      <c r="E1523" s="19" t="s">
        <v>18</v>
      </c>
      <c r="F1523" s="19">
        <v>100</v>
      </c>
      <c r="G1523" s="19">
        <v>100</v>
      </c>
      <c r="H1523" s="24">
        <f>IF(G1523/F1523*100&gt;100,100,G1523/F1523*100)</f>
        <v>100</v>
      </c>
      <c r="I1523" s="19"/>
      <c r="J1523" s="19" t="s">
        <v>16</v>
      </c>
      <c r="K1523" s="41" t="s">
        <v>106</v>
      </c>
      <c r="L1523" s="19" t="s">
        <v>20</v>
      </c>
      <c r="M1523" s="19">
        <v>203</v>
      </c>
      <c r="N1523" s="19">
        <v>204</v>
      </c>
      <c r="O1523" s="24">
        <f>IF(N1523/M1523*100&gt;110,110,N1523/M1523*100)</f>
        <v>100.49261083743843</v>
      </c>
      <c r="P1523" s="468"/>
      <c r="Q1523" s="35"/>
      <c r="R1523" s="19"/>
      <c r="S1523" s="557"/>
      <c r="T1523" s="2"/>
    </row>
    <row r="1524" spans="1:20" s="1" customFormat="1" x14ac:dyDescent="0.35">
      <c r="A1524" s="605"/>
      <c r="B1524" s="541"/>
      <c r="C1524" s="19" t="s">
        <v>21</v>
      </c>
      <c r="D1524" s="41" t="s">
        <v>135</v>
      </c>
      <c r="E1524" s="19" t="s">
        <v>18</v>
      </c>
      <c r="F1524" s="19">
        <v>100</v>
      </c>
      <c r="G1524" s="19">
        <v>100</v>
      </c>
      <c r="H1524" s="24">
        <f>IF(G1524/F1524*100&gt;100,100,G1524/F1524*100)</f>
        <v>100</v>
      </c>
      <c r="I1524" s="19"/>
      <c r="J1524" s="19"/>
      <c r="K1524" s="455"/>
      <c r="L1524" s="19"/>
      <c r="M1524" s="476"/>
      <c r="N1524" s="476"/>
      <c r="O1524" s="24"/>
      <c r="P1524" s="468"/>
      <c r="Q1524" s="35"/>
      <c r="R1524" s="19"/>
      <c r="S1524" s="557"/>
      <c r="T1524" s="2"/>
    </row>
    <row r="1525" spans="1:20" s="1" customFormat="1" ht="47.25" customHeight="1" x14ac:dyDescent="0.35">
      <c r="A1525" s="605"/>
      <c r="B1525" s="541"/>
      <c r="C1525" s="19" t="s">
        <v>23</v>
      </c>
      <c r="D1525" s="41" t="s">
        <v>108</v>
      </c>
      <c r="E1525" s="19" t="s">
        <v>18</v>
      </c>
      <c r="F1525" s="19">
        <v>100</v>
      </c>
      <c r="G1525" s="19">
        <v>100</v>
      </c>
      <c r="H1525" s="24">
        <f>IF(G1525/F1525*100&gt;100,100,G1525/F1525*100)</f>
        <v>100</v>
      </c>
      <c r="I1525" s="19"/>
      <c r="J1525" s="129"/>
      <c r="K1525" s="41"/>
      <c r="L1525" s="19"/>
      <c r="M1525" s="122"/>
      <c r="N1525" s="122"/>
      <c r="O1525" s="24"/>
      <c r="P1525" s="468"/>
      <c r="Q1525" s="35"/>
      <c r="R1525" s="19"/>
      <c r="S1525" s="557"/>
      <c r="T1525" s="2"/>
    </row>
    <row r="1526" spans="1:20" s="1" customFormat="1" ht="82.5" customHeight="1" x14ac:dyDescent="0.35">
      <c r="A1526" s="605"/>
      <c r="B1526" s="541"/>
      <c r="C1526" s="19" t="s">
        <v>109</v>
      </c>
      <c r="D1526" s="41" t="s">
        <v>17</v>
      </c>
      <c r="E1526" s="19" t="s">
        <v>18</v>
      </c>
      <c r="F1526" s="19">
        <v>90</v>
      </c>
      <c r="G1526" s="19">
        <v>100</v>
      </c>
      <c r="H1526" s="24">
        <f>IF(G1526/F1526*100&gt;100,100,G1526/F1526*100)</f>
        <v>100</v>
      </c>
      <c r="I1526" s="19"/>
      <c r="J1526" s="129"/>
      <c r="K1526" s="41"/>
      <c r="L1526" s="19"/>
      <c r="M1526" s="122"/>
      <c r="N1526" s="122"/>
      <c r="O1526" s="24"/>
      <c r="P1526" s="468"/>
      <c r="Q1526" s="35"/>
      <c r="R1526" s="19"/>
      <c r="S1526" s="557"/>
      <c r="T1526" s="2"/>
    </row>
    <row r="1527" spans="1:20" s="1" customFormat="1" ht="135.75" customHeight="1" x14ac:dyDescent="0.35">
      <c r="A1527" s="605"/>
      <c r="B1527" s="541"/>
      <c r="C1527" s="19" t="s">
        <v>110</v>
      </c>
      <c r="D1527" s="41" t="s">
        <v>111</v>
      </c>
      <c r="E1527" s="19" t="s">
        <v>18</v>
      </c>
      <c r="F1527" s="19">
        <v>100</v>
      </c>
      <c r="G1527" s="19">
        <v>100</v>
      </c>
      <c r="H1527" s="24">
        <f>IF(G1527/F1527*100&gt;100,100,G1527/F1527*100)</f>
        <v>100</v>
      </c>
      <c r="I1527" s="19"/>
      <c r="J1527" s="129"/>
      <c r="K1527" s="41"/>
      <c r="L1527" s="19"/>
      <c r="M1527" s="122"/>
      <c r="N1527" s="122"/>
      <c r="O1527" s="24"/>
      <c r="P1527" s="468"/>
      <c r="Q1527" s="35"/>
      <c r="R1527" s="19"/>
      <c r="S1527" s="557"/>
      <c r="T1527" s="2"/>
    </row>
    <row r="1528" spans="1:20" s="1" customFormat="1" ht="40.5" customHeight="1" x14ac:dyDescent="0.35">
      <c r="A1528" s="605"/>
      <c r="B1528" s="541"/>
      <c r="C1528" s="465"/>
      <c r="D1528" s="466" t="s">
        <v>644</v>
      </c>
      <c r="E1528" s="465"/>
      <c r="F1528" s="20"/>
      <c r="G1528" s="20"/>
      <c r="H1528" s="18"/>
      <c r="I1528" s="18">
        <f>(H1523+H1524+H1525+H1526+H1527)/5</f>
        <v>100</v>
      </c>
      <c r="J1528" s="128"/>
      <c r="K1528" s="466" t="s">
        <v>644</v>
      </c>
      <c r="L1528" s="20"/>
      <c r="M1528" s="124"/>
      <c r="N1528" s="124"/>
      <c r="O1528" s="18"/>
      <c r="P1528" s="18">
        <f>O1523</f>
        <v>100.49261083743843</v>
      </c>
      <c r="Q1528" s="18">
        <f>(I1528+P1528)/2</f>
        <v>100.24630541871922</v>
      </c>
      <c r="R1528" s="465" t="s">
        <v>25</v>
      </c>
      <c r="S1528" s="557"/>
      <c r="T1528" s="2"/>
    </row>
    <row r="1529" spans="1:20" s="1" customFormat="1" ht="91.5" customHeight="1" x14ac:dyDescent="0.35">
      <c r="A1529" s="605"/>
      <c r="B1529" s="541"/>
      <c r="C1529" s="454" t="s">
        <v>26</v>
      </c>
      <c r="D1529" s="59" t="s">
        <v>113</v>
      </c>
      <c r="E1529" s="19"/>
      <c r="F1529" s="19"/>
      <c r="G1529" s="19"/>
      <c r="H1529" s="35"/>
      <c r="I1529" s="35"/>
      <c r="J1529" s="454" t="s">
        <v>26</v>
      </c>
      <c r="K1529" s="59" t="s">
        <v>113</v>
      </c>
      <c r="L1529" s="19"/>
      <c r="M1529" s="122"/>
      <c r="N1529" s="122"/>
      <c r="O1529" s="35"/>
      <c r="P1529" s="468"/>
      <c r="Q1529" s="35"/>
      <c r="R1529" s="19"/>
      <c r="S1529" s="557"/>
      <c r="T1529" s="2"/>
    </row>
    <row r="1530" spans="1:20" s="1" customFormat="1" ht="79.5" customHeight="1" x14ac:dyDescent="0.35">
      <c r="A1530" s="605"/>
      <c r="B1530" s="541"/>
      <c r="C1530" s="19" t="s">
        <v>28</v>
      </c>
      <c r="D1530" s="41" t="s">
        <v>114</v>
      </c>
      <c r="E1530" s="19" t="s">
        <v>18</v>
      </c>
      <c r="F1530" s="19">
        <v>100</v>
      </c>
      <c r="G1530" s="19">
        <v>100</v>
      </c>
      <c r="H1530" s="24">
        <f>IF(G1530/F1530*100&gt;100,100,G1530/F1530*100)</f>
        <v>100</v>
      </c>
      <c r="I1530" s="19"/>
      <c r="J1530" s="129" t="s">
        <v>28</v>
      </c>
      <c r="K1530" s="41" t="s">
        <v>106</v>
      </c>
      <c r="L1530" s="19" t="s">
        <v>20</v>
      </c>
      <c r="M1530" s="19">
        <v>279</v>
      </c>
      <c r="N1530" s="19">
        <v>274</v>
      </c>
      <c r="O1530" s="24">
        <f>IF(N1530/M1530*100&gt;110,110,N1530/M1530*100)</f>
        <v>98.207885304659499</v>
      </c>
      <c r="P1530" s="19"/>
      <c r="Q1530" s="35"/>
      <c r="R1530" s="19"/>
      <c r="S1530" s="557"/>
      <c r="T1530" s="2"/>
    </row>
    <row r="1531" spans="1:20" s="1" customFormat="1" x14ac:dyDescent="0.35">
      <c r="A1531" s="605"/>
      <c r="B1531" s="541"/>
      <c r="C1531" s="19" t="s">
        <v>30</v>
      </c>
      <c r="D1531" s="41" t="s">
        <v>115</v>
      </c>
      <c r="E1531" s="19" t="s">
        <v>18</v>
      </c>
      <c r="F1531" s="19">
        <v>100</v>
      </c>
      <c r="G1531" s="19">
        <v>100</v>
      </c>
      <c r="H1531" s="24">
        <f>IF(G1531/F1531*100&gt;100,100,G1531/F1531*100)</f>
        <v>100</v>
      </c>
      <c r="I1531" s="19"/>
      <c r="J1531" s="129"/>
      <c r="K1531" s="41"/>
      <c r="L1531" s="19"/>
      <c r="M1531" s="122"/>
      <c r="N1531" s="122"/>
      <c r="O1531" s="24"/>
      <c r="P1531" s="468"/>
      <c r="Q1531" s="35"/>
      <c r="R1531" s="19"/>
      <c r="S1531" s="557"/>
      <c r="T1531" s="2"/>
    </row>
    <row r="1532" spans="1:20" s="1" customFormat="1" ht="48.75" customHeight="1" x14ac:dyDescent="0.35">
      <c r="A1532" s="605"/>
      <c r="B1532" s="541"/>
      <c r="C1532" s="19" t="s">
        <v>34</v>
      </c>
      <c r="D1532" s="41" t="s">
        <v>108</v>
      </c>
      <c r="E1532" s="19" t="s">
        <v>18</v>
      </c>
      <c r="F1532" s="19">
        <v>100</v>
      </c>
      <c r="G1532" s="19">
        <v>100</v>
      </c>
      <c r="H1532" s="24">
        <f>IF(G1532/F1532*100&gt;100,100,G1532/F1532*100)</f>
        <v>100</v>
      </c>
      <c r="I1532" s="19"/>
      <c r="J1532" s="129"/>
      <c r="K1532" s="41"/>
      <c r="L1532" s="19"/>
      <c r="M1532" s="122"/>
      <c r="N1532" s="122"/>
      <c r="O1532" s="24"/>
      <c r="P1532" s="468"/>
      <c r="Q1532" s="35"/>
      <c r="R1532" s="19"/>
      <c r="S1532" s="557"/>
      <c r="T1532" s="2"/>
    </row>
    <row r="1533" spans="1:20" s="1" customFormat="1" ht="73.5" customHeight="1" x14ac:dyDescent="0.35">
      <c r="A1533" s="605"/>
      <c r="B1533" s="541"/>
      <c r="C1533" s="19" t="s">
        <v>78</v>
      </c>
      <c r="D1533" s="41" t="s">
        <v>17</v>
      </c>
      <c r="E1533" s="19" t="s">
        <v>18</v>
      </c>
      <c r="F1533" s="19">
        <v>90</v>
      </c>
      <c r="G1533" s="19">
        <v>100</v>
      </c>
      <c r="H1533" s="24">
        <f>IF(G1533/F1533*100&gt;100,100,G1533/F1533*100)</f>
        <v>100</v>
      </c>
      <c r="I1533" s="19"/>
      <c r="J1533" s="129"/>
      <c r="K1533" s="41"/>
      <c r="L1533" s="19"/>
      <c r="M1533" s="122"/>
      <c r="N1533" s="122"/>
      <c r="O1533" s="24"/>
      <c r="P1533" s="468"/>
      <c r="Q1533" s="35"/>
      <c r="R1533" s="19"/>
      <c r="S1533" s="557"/>
      <c r="T1533" s="2"/>
    </row>
    <row r="1534" spans="1:20" s="1" customFormat="1" ht="130.5" customHeight="1" x14ac:dyDescent="0.35">
      <c r="A1534" s="605"/>
      <c r="B1534" s="541"/>
      <c r="C1534" s="19" t="s">
        <v>79</v>
      </c>
      <c r="D1534" s="41" t="s">
        <v>111</v>
      </c>
      <c r="E1534" s="19" t="s">
        <v>18</v>
      </c>
      <c r="F1534" s="19">
        <v>100</v>
      </c>
      <c r="G1534" s="19">
        <v>100</v>
      </c>
      <c r="H1534" s="24">
        <f>IF(G1534/F1534*100&gt;100,100,G1534/F1534*100)</f>
        <v>100</v>
      </c>
      <c r="I1534" s="19"/>
      <c r="J1534" s="129"/>
      <c r="K1534" s="41"/>
      <c r="L1534" s="19"/>
      <c r="M1534" s="122"/>
      <c r="N1534" s="122"/>
      <c r="O1534" s="24"/>
      <c r="P1534" s="468"/>
      <c r="Q1534" s="35"/>
      <c r="R1534" s="19"/>
      <c r="S1534" s="557"/>
      <c r="T1534" s="2"/>
    </row>
    <row r="1535" spans="1:20" s="1" customFormat="1" ht="40.5" customHeight="1" x14ac:dyDescent="0.35">
      <c r="A1535" s="605"/>
      <c r="B1535" s="541"/>
      <c r="C1535" s="465"/>
      <c r="D1535" s="466" t="s">
        <v>644</v>
      </c>
      <c r="E1535" s="465"/>
      <c r="F1535" s="20"/>
      <c r="G1535" s="20"/>
      <c r="H1535" s="18"/>
      <c r="I1535" s="18">
        <f>(H1530+H1531+H1532+H1533+H1534)/5</f>
        <v>100</v>
      </c>
      <c r="J1535" s="128"/>
      <c r="K1535" s="466" t="s">
        <v>644</v>
      </c>
      <c r="L1535" s="20"/>
      <c r="M1535" s="124"/>
      <c r="N1535" s="124"/>
      <c r="O1535" s="18"/>
      <c r="P1535" s="18">
        <f>O1530</f>
        <v>98.207885304659499</v>
      </c>
      <c r="Q1535" s="18">
        <f>(I1535+P1535)/2</f>
        <v>99.103942652329749</v>
      </c>
      <c r="R1535" s="465" t="s">
        <v>112</v>
      </c>
      <c r="S1535" s="557"/>
      <c r="T1535" s="2"/>
    </row>
    <row r="1536" spans="1:20" s="1" customFormat="1" ht="80.25" customHeight="1" x14ac:dyDescent="0.35">
      <c r="A1536" s="605"/>
      <c r="B1536" s="541"/>
      <c r="C1536" s="454" t="s">
        <v>36</v>
      </c>
      <c r="D1536" s="59" t="s">
        <v>116</v>
      </c>
      <c r="E1536" s="19"/>
      <c r="F1536" s="19"/>
      <c r="G1536" s="19"/>
      <c r="H1536" s="35"/>
      <c r="I1536" s="35"/>
      <c r="J1536" s="454" t="s">
        <v>36</v>
      </c>
      <c r="K1536" s="59" t="str">
        <f>D1536</f>
        <v>Реализация основных общеобразовательных программ среднего общего образования</v>
      </c>
      <c r="L1536" s="19"/>
      <c r="M1536" s="122"/>
      <c r="N1536" s="122"/>
      <c r="O1536" s="35"/>
      <c r="P1536" s="468"/>
      <c r="Q1536" s="35"/>
      <c r="R1536" s="19"/>
      <c r="S1536" s="557"/>
      <c r="T1536" s="2"/>
    </row>
    <row r="1537" spans="1:20" s="1" customFormat="1" ht="74.25" customHeight="1" x14ac:dyDescent="0.35">
      <c r="A1537" s="605"/>
      <c r="B1537" s="541"/>
      <c r="C1537" s="19" t="s">
        <v>38</v>
      </c>
      <c r="D1537" s="41" t="s">
        <v>117</v>
      </c>
      <c r="E1537" s="19" t="s">
        <v>18</v>
      </c>
      <c r="F1537" s="19">
        <v>100</v>
      </c>
      <c r="G1537" s="19">
        <v>100</v>
      </c>
      <c r="H1537" s="24">
        <f>IF(G1537/F1537*100&gt;100,100,G1537/F1537*100)</f>
        <v>100</v>
      </c>
      <c r="I1537" s="19"/>
      <c r="J1537" s="129" t="s">
        <v>38</v>
      </c>
      <c r="K1537" s="41" t="s">
        <v>106</v>
      </c>
      <c r="L1537" s="19" t="s">
        <v>20</v>
      </c>
      <c r="M1537" s="19">
        <v>37</v>
      </c>
      <c r="N1537" s="19">
        <v>37</v>
      </c>
      <c r="O1537" s="24">
        <f>IF(N1537/M1537*100&gt;110,110,N1537/M1537*100)</f>
        <v>100</v>
      </c>
      <c r="P1537" s="19"/>
      <c r="Q1537" s="35"/>
      <c r="R1537" s="19"/>
      <c r="S1537" s="557"/>
      <c r="T1537" s="2"/>
    </row>
    <row r="1538" spans="1:20" s="1" customFormat="1" x14ac:dyDescent="0.35">
      <c r="A1538" s="605"/>
      <c r="B1538" s="541"/>
      <c r="C1538" s="19" t="s">
        <v>118</v>
      </c>
      <c r="D1538" s="41" t="s">
        <v>119</v>
      </c>
      <c r="E1538" s="19" t="s">
        <v>18</v>
      </c>
      <c r="F1538" s="19">
        <v>100</v>
      </c>
      <c r="G1538" s="19">
        <v>100</v>
      </c>
      <c r="H1538" s="24">
        <f>IF(G1538/F1538*100&gt;100,100,G1538/F1538*100)</f>
        <v>100</v>
      </c>
      <c r="I1538" s="19"/>
      <c r="J1538" s="129"/>
      <c r="K1538" s="41"/>
      <c r="L1538" s="19"/>
      <c r="M1538" s="122"/>
      <c r="N1538" s="122"/>
      <c r="O1538" s="24"/>
      <c r="P1538" s="468"/>
      <c r="Q1538" s="35"/>
      <c r="R1538" s="19"/>
      <c r="S1538" s="557"/>
      <c r="T1538" s="2"/>
    </row>
    <row r="1539" spans="1:20" s="1" customFormat="1" ht="57" customHeight="1" x14ac:dyDescent="0.35">
      <c r="A1539" s="605"/>
      <c r="B1539" s="541"/>
      <c r="C1539" s="19" t="s">
        <v>120</v>
      </c>
      <c r="D1539" s="41" t="s">
        <v>108</v>
      </c>
      <c r="E1539" s="19" t="s">
        <v>18</v>
      </c>
      <c r="F1539" s="19">
        <v>100</v>
      </c>
      <c r="G1539" s="19">
        <v>100</v>
      </c>
      <c r="H1539" s="24">
        <f>IF(G1539/F1539*100&gt;100,100,G1539/F1539*100)</f>
        <v>100</v>
      </c>
      <c r="I1539" s="19"/>
      <c r="J1539" s="129"/>
      <c r="K1539" s="41"/>
      <c r="L1539" s="19"/>
      <c r="M1539" s="122"/>
      <c r="N1539" s="122"/>
      <c r="O1539" s="24"/>
      <c r="P1539" s="468"/>
      <c r="Q1539" s="35"/>
      <c r="R1539" s="19"/>
      <c r="S1539" s="557"/>
      <c r="T1539" s="2"/>
    </row>
    <row r="1540" spans="1:20" s="1" customFormat="1" ht="67.5" customHeight="1" x14ac:dyDescent="0.35">
      <c r="A1540" s="605"/>
      <c r="B1540" s="541"/>
      <c r="C1540" s="19" t="s">
        <v>121</v>
      </c>
      <c r="D1540" s="41" t="s">
        <v>17</v>
      </c>
      <c r="E1540" s="19" t="s">
        <v>18</v>
      </c>
      <c r="F1540" s="19">
        <v>90</v>
      </c>
      <c r="G1540" s="19">
        <v>100</v>
      </c>
      <c r="H1540" s="24">
        <f>IF(G1540/F1540*100&gt;100,100,G1540/F1540*100)</f>
        <v>100</v>
      </c>
      <c r="I1540" s="19"/>
      <c r="J1540" s="129"/>
      <c r="K1540" s="41"/>
      <c r="L1540" s="19"/>
      <c r="M1540" s="122"/>
      <c r="N1540" s="122"/>
      <c r="O1540" s="24"/>
      <c r="P1540" s="468"/>
      <c r="Q1540" s="35"/>
      <c r="R1540" s="19"/>
      <c r="S1540" s="557"/>
      <c r="T1540" s="2"/>
    </row>
    <row r="1541" spans="1:20" s="1" customFormat="1" ht="125.25" customHeight="1" x14ac:dyDescent="0.35">
      <c r="A1541" s="605"/>
      <c r="B1541" s="541"/>
      <c r="C1541" s="19" t="s">
        <v>122</v>
      </c>
      <c r="D1541" s="41" t="s">
        <v>111</v>
      </c>
      <c r="E1541" s="19" t="s">
        <v>18</v>
      </c>
      <c r="F1541" s="19">
        <v>100</v>
      </c>
      <c r="G1541" s="19">
        <v>100</v>
      </c>
      <c r="H1541" s="24">
        <f>IF(G1541/F1541*100&gt;100,100,G1541/F1541*100)</f>
        <v>100</v>
      </c>
      <c r="I1541" s="19"/>
      <c r="J1541" s="129"/>
      <c r="K1541" s="41"/>
      <c r="L1541" s="19"/>
      <c r="M1541" s="122"/>
      <c r="N1541" s="122"/>
      <c r="O1541" s="24"/>
      <c r="P1541" s="468"/>
      <c r="Q1541" s="35"/>
      <c r="R1541" s="19"/>
      <c r="S1541" s="557"/>
      <c r="T1541" s="2"/>
    </row>
    <row r="1542" spans="1:20" s="1" customFormat="1" ht="40.5" customHeight="1" x14ac:dyDescent="0.35">
      <c r="A1542" s="605"/>
      <c r="B1542" s="541"/>
      <c r="C1542" s="465"/>
      <c r="D1542" s="466" t="s">
        <v>644</v>
      </c>
      <c r="E1542" s="465"/>
      <c r="F1542" s="20"/>
      <c r="G1542" s="20"/>
      <c r="H1542" s="18"/>
      <c r="I1542" s="18">
        <f>(H1537+H1538+H1539+H1540+H1541)/5</f>
        <v>100</v>
      </c>
      <c r="J1542" s="128"/>
      <c r="K1542" s="466" t="s">
        <v>644</v>
      </c>
      <c r="L1542" s="20"/>
      <c r="M1542" s="124"/>
      <c r="N1542" s="124"/>
      <c r="O1542" s="18"/>
      <c r="P1542" s="18">
        <f>O1537</f>
        <v>100</v>
      </c>
      <c r="Q1542" s="18">
        <f>(I1542+P1542)/2</f>
        <v>100</v>
      </c>
      <c r="R1542" s="465" t="s">
        <v>25</v>
      </c>
      <c r="S1542" s="557"/>
      <c r="T1542" s="2"/>
    </row>
    <row r="1543" spans="1:20" s="1" customFormat="1" x14ac:dyDescent="0.35">
      <c r="A1543" s="605"/>
      <c r="B1543" s="541"/>
      <c r="C1543" s="454" t="s">
        <v>123</v>
      </c>
      <c r="D1543" s="59" t="s">
        <v>27</v>
      </c>
      <c r="E1543" s="19"/>
      <c r="F1543" s="19"/>
      <c r="G1543" s="19"/>
      <c r="H1543" s="35"/>
      <c r="I1543" s="35"/>
      <c r="J1543" s="454" t="s">
        <v>123</v>
      </c>
      <c r="K1543" s="59" t="s">
        <v>27</v>
      </c>
      <c r="L1543" s="19"/>
      <c r="M1543" s="122"/>
      <c r="N1543" s="122"/>
      <c r="O1543" s="35"/>
      <c r="P1543" s="468"/>
      <c r="Q1543" s="35"/>
      <c r="R1543" s="19"/>
      <c r="S1543" s="557"/>
      <c r="T1543" s="2"/>
    </row>
    <row r="1544" spans="1:20" s="1" customFormat="1" ht="47.25" customHeight="1" x14ac:dyDescent="0.35">
      <c r="A1544" s="605"/>
      <c r="B1544" s="541"/>
      <c r="C1544" s="19" t="s">
        <v>124</v>
      </c>
      <c r="D1544" s="41" t="s">
        <v>125</v>
      </c>
      <c r="E1544" s="19" t="s">
        <v>18</v>
      </c>
      <c r="F1544" s="19">
        <v>100</v>
      </c>
      <c r="G1544" s="19">
        <v>100</v>
      </c>
      <c r="H1544" s="24">
        <f>IF(G1544/F1544*100&gt;100,100,G1544/F1544*100)</f>
        <v>100</v>
      </c>
      <c r="I1544" s="19"/>
      <c r="J1544" s="129" t="s">
        <v>124</v>
      </c>
      <c r="K1544" s="41" t="s">
        <v>106</v>
      </c>
      <c r="L1544" s="19" t="s">
        <v>20</v>
      </c>
      <c r="M1544" s="19">
        <v>49</v>
      </c>
      <c r="N1544" s="19">
        <v>49</v>
      </c>
      <c r="O1544" s="24">
        <f>IF(N1544/M1544*100&gt;110,110,N1544/M1544*100)</f>
        <v>100</v>
      </c>
      <c r="P1544" s="468"/>
      <c r="Q1544" s="35"/>
      <c r="R1544" s="19"/>
      <c r="S1544" s="557"/>
      <c r="T1544" s="2"/>
    </row>
    <row r="1545" spans="1:20" s="1" customFormat="1" ht="78.75" customHeight="1" x14ac:dyDescent="0.35">
      <c r="A1545" s="605"/>
      <c r="B1545" s="541"/>
      <c r="C1545" s="19" t="s">
        <v>127</v>
      </c>
      <c r="D1545" s="41" t="s">
        <v>128</v>
      </c>
      <c r="E1545" s="19" t="s">
        <v>18</v>
      </c>
      <c r="F1545" s="19">
        <v>90</v>
      </c>
      <c r="G1545" s="19">
        <v>90</v>
      </c>
      <c r="H1545" s="24">
        <f>IF(G1545/F1545*100&gt;100,100,G1545/F1545*100)</f>
        <v>100</v>
      </c>
      <c r="I1545" s="19"/>
      <c r="J1545" s="129"/>
      <c r="K1545" s="41"/>
      <c r="L1545" s="19"/>
      <c r="M1545" s="122"/>
      <c r="N1545" s="122"/>
      <c r="O1545" s="24"/>
      <c r="P1545" s="468"/>
      <c r="Q1545" s="35"/>
      <c r="R1545" s="19"/>
      <c r="S1545" s="557"/>
      <c r="T1545" s="2"/>
    </row>
    <row r="1546" spans="1:20" s="1" customFormat="1" ht="40.5" customHeight="1" x14ac:dyDescent="0.35">
      <c r="A1546" s="605"/>
      <c r="B1546" s="541"/>
      <c r="C1546" s="465"/>
      <c r="D1546" s="466" t="s">
        <v>644</v>
      </c>
      <c r="E1546" s="465"/>
      <c r="F1546" s="20"/>
      <c r="G1546" s="20"/>
      <c r="H1546" s="18"/>
      <c r="I1546" s="18">
        <f>(H1544+H1545)/2</f>
        <v>100</v>
      </c>
      <c r="J1546" s="128"/>
      <c r="K1546" s="466" t="s">
        <v>644</v>
      </c>
      <c r="L1546" s="20"/>
      <c r="M1546" s="124"/>
      <c r="N1546" s="124"/>
      <c r="O1546" s="18"/>
      <c r="P1546" s="18">
        <f>O1544</f>
        <v>100</v>
      </c>
      <c r="Q1546" s="18">
        <f>(I1546+P1546)/2</f>
        <v>100</v>
      </c>
      <c r="R1546" s="465" t="s">
        <v>25</v>
      </c>
      <c r="S1546" s="557"/>
      <c r="T1546" s="2"/>
    </row>
    <row r="1547" spans="1:20" s="1" customFormat="1" ht="246.75" customHeight="1" x14ac:dyDescent="0.35">
      <c r="A1547" s="605"/>
      <c r="B1547" s="541"/>
      <c r="C1547" s="454" t="s">
        <v>129</v>
      </c>
      <c r="D1547" s="59" t="s">
        <v>274</v>
      </c>
      <c r="E1547" s="454"/>
      <c r="F1547" s="454"/>
      <c r="G1547" s="454"/>
      <c r="H1547" s="35"/>
      <c r="I1547" s="35"/>
      <c r="J1547" s="454" t="s">
        <v>129</v>
      </c>
      <c r="K1547" s="59" t="s">
        <v>274</v>
      </c>
      <c r="L1547" s="19"/>
      <c r="M1547" s="19"/>
      <c r="N1547" s="19"/>
      <c r="O1547" s="35"/>
      <c r="P1547" s="468"/>
      <c r="Q1547" s="35"/>
      <c r="R1547" s="19"/>
      <c r="S1547" s="557"/>
      <c r="T1547" s="2"/>
    </row>
    <row r="1548" spans="1:20" s="1" customFormat="1" ht="75.75" customHeight="1" x14ac:dyDescent="0.35">
      <c r="A1548" s="605"/>
      <c r="B1548" s="541"/>
      <c r="C1548" s="19" t="s">
        <v>131</v>
      </c>
      <c r="D1548" s="41" t="s">
        <v>17</v>
      </c>
      <c r="E1548" s="19" t="s">
        <v>18</v>
      </c>
      <c r="F1548" s="19">
        <v>90</v>
      </c>
      <c r="G1548" s="19">
        <v>90</v>
      </c>
      <c r="H1548" s="24">
        <f>IF(G1548/F1548*100&gt;100,100,G1548/F1548*100)</f>
        <v>100</v>
      </c>
      <c r="I1548" s="19"/>
      <c r="J1548" s="19" t="s">
        <v>131</v>
      </c>
      <c r="K1548" s="41" t="s">
        <v>273</v>
      </c>
      <c r="L1548" s="19" t="s">
        <v>41</v>
      </c>
      <c r="M1548" s="19">
        <v>75</v>
      </c>
      <c r="N1548" s="19">
        <v>75</v>
      </c>
      <c r="O1548" s="24">
        <f>IF(N1548/M1548*100&gt;110,110,N1548/M1548*100)</f>
        <v>100</v>
      </c>
      <c r="P1548" s="468"/>
      <c r="Q1548" s="35"/>
      <c r="R1548" s="19"/>
      <c r="S1548" s="557"/>
      <c r="T1548" s="2"/>
    </row>
    <row r="1549" spans="1:20" s="1" customFormat="1" ht="48.75" customHeight="1" x14ac:dyDescent="0.35">
      <c r="A1549" s="605"/>
      <c r="B1549" s="541"/>
      <c r="C1549" s="465"/>
      <c r="D1549" s="466" t="s">
        <v>644</v>
      </c>
      <c r="E1549" s="465"/>
      <c r="F1549" s="20"/>
      <c r="G1549" s="20"/>
      <c r="H1549" s="18"/>
      <c r="I1549" s="18">
        <f>H1548</f>
        <v>100</v>
      </c>
      <c r="J1549" s="128"/>
      <c r="K1549" s="466" t="s">
        <v>644</v>
      </c>
      <c r="L1549" s="20"/>
      <c r="M1549" s="124"/>
      <c r="N1549" s="124"/>
      <c r="O1549" s="18"/>
      <c r="P1549" s="18">
        <f>O1548</f>
        <v>100</v>
      </c>
      <c r="Q1549" s="18">
        <f>(I1549+P1549)/2</f>
        <v>100</v>
      </c>
      <c r="R1549" s="465" t="s">
        <v>25</v>
      </c>
      <c r="S1549" s="557"/>
      <c r="T1549" s="2"/>
    </row>
    <row r="1550" spans="1:20" s="1" customFormat="1" ht="60.75" customHeight="1" x14ac:dyDescent="0.35">
      <c r="A1550" s="605"/>
      <c r="B1550" s="541"/>
      <c r="C1550" s="454" t="s">
        <v>140</v>
      </c>
      <c r="D1550" s="59" t="s">
        <v>130</v>
      </c>
      <c r="E1550" s="19"/>
      <c r="F1550" s="19"/>
      <c r="G1550" s="19"/>
      <c r="H1550" s="35"/>
      <c r="I1550" s="35"/>
      <c r="J1550" s="454" t="s">
        <v>140</v>
      </c>
      <c r="K1550" s="59" t="str">
        <f>D1550</f>
        <v>Реализация дополнительных общеразвивающих программ</v>
      </c>
      <c r="L1550" s="19"/>
      <c r="M1550" s="122"/>
      <c r="N1550" s="122"/>
      <c r="O1550" s="35"/>
      <c r="P1550" s="468"/>
      <c r="Q1550" s="35"/>
      <c r="R1550" s="454"/>
      <c r="S1550" s="557"/>
      <c r="T1550" s="2"/>
    </row>
    <row r="1551" spans="1:20" s="1" customFormat="1" ht="80.25" customHeight="1" x14ac:dyDescent="0.35">
      <c r="A1551" s="605"/>
      <c r="B1551" s="541"/>
      <c r="C1551" s="19" t="s">
        <v>142</v>
      </c>
      <c r="D1551" s="41" t="s">
        <v>128</v>
      </c>
      <c r="E1551" s="19" t="s">
        <v>18</v>
      </c>
      <c r="F1551" s="19">
        <v>90</v>
      </c>
      <c r="G1551" s="19">
        <v>90</v>
      </c>
      <c r="H1551" s="24">
        <f>IF(G1551/F1551*100&gt;100,100,G1551/F1551*100)</f>
        <v>100</v>
      </c>
      <c r="I1551" s="19"/>
      <c r="J1551" s="129" t="s">
        <v>142</v>
      </c>
      <c r="K1551" s="41" t="s">
        <v>136</v>
      </c>
      <c r="L1551" s="19" t="s">
        <v>139</v>
      </c>
      <c r="M1551" s="19">
        <v>36720</v>
      </c>
      <c r="N1551" s="19">
        <v>37367</v>
      </c>
      <c r="O1551" s="24">
        <f>IF(N1551/M1551*100&gt;110,110,N1551/M1551*100)</f>
        <v>101.76198257080611</v>
      </c>
      <c r="P1551" s="468"/>
      <c r="Q1551" s="35"/>
      <c r="R1551" s="19"/>
      <c r="S1551" s="557"/>
      <c r="T1551" s="2"/>
    </row>
    <row r="1552" spans="1:20" s="1" customFormat="1" ht="39" customHeight="1" x14ac:dyDescent="0.35">
      <c r="A1552" s="605"/>
      <c r="B1552" s="541"/>
      <c r="C1552" s="465"/>
      <c r="D1552" s="466" t="s">
        <v>644</v>
      </c>
      <c r="E1552" s="465"/>
      <c r="F1552" s="20"/>
      <c r="G1552" s="20"/>
      <c r="H1552" s="18"/>
      <c r="I1552" s="18">
        <f>H1551</f>
        <v>100</v>
      </c>
      <c r="J1552" s="128"/>
      <c r="K1552" s="466" t="s">
        <v>644</v>
      </c>
      <c r="L1552" s="20"/>
      <c r="M1552" s="124"/>
      <c r="N1552" s="124"/>
      <c r="O1552" s="18"/>
      <c r="P1552" s="18">
        <f>O1551</f>
        <v>101.76198257080611</v>
      </c>
      <c r="Q1552" s="18">
        <f>(I1552+P1552)/2</f>
        <v>100.88099128540306</v>
      </c>
      <c r="R1552" s="465" t="s">
        <v>25</v>
      </c>
      <c r="S1552" s="557"/>
      <c r="T1552" s="2"/>
    </row>
    <row r="1553" spans="1:20" s="1" customFormat="1" ht="79.5" customHeight="1" x14ac:dyDescent="0.35">
      <c r="A1553" s="605">
        <v>70</v>
      </c>
      <c r="B1553" s="541" t="s">
        <v>203</v>
      </c>
      <c r="C1553" s="454" t="s">
        <v>13</v>
      </c>
      <c r="D1553" s="59" t="s">
        <v>103</v>
      </c>
      <c r="E1553" s="454"/>
      <c r="F1553" s="454"/>
      <c r="G1553" s="454"/>
      <c r="H1553" s="35"/>
      <c r="I1553" s="35"/>
      <c r="J1553" s="454" t="s">
        <v>13</v>
      </c>
      <c r="K1553" s="59" t="s">
        <v>103</v>
      </c>
      <c r="L1553" s="19"/>
      <c r="M1553" s="19"/>
      <c r="N1553" s="19"/>
      <c r="O1553" s="35"/>
      <c r="P1553" s="468"/>
      <c r="Q1553" s="35"/>
      <c r="R1553" s="19"/>
      <c r="S1553" s="557" t="s">
        <v>104</v>
      </c>
      <c r="T1553" s="2"/>
    </row>
    <row r="1554" spans="1:20" s="1" customFormat="1" ht="80.25" customHeight="1" x14ac:dyDescent="0.35">
      <c r="A1554" s="605"/>
      <c r="B1554" s="541"/>
      <c r="C1554" s="19" t="s">
        <v>16</v>
      </c>
      <c r="D1554" s="41" t="s">
        <v>105</v>
      </c>
      <c r="E1554" s="19" t="s">
        <v>18</v>
      </c>
      <c r="F1554" s="19">
        <v>100</v>
      </c>
      <c r="G1554" s="19">
        <v>100</v>
      </c>
      <c r="H1554" s="24">
        <f>IF(G1554/F1554*100&gt;100,100,G1554/F1554*100)</f>
        <v>100</v>
      </c>
      <c r="I1554" s="19"/>
      <c r="J1554" s="19" t="s">
        <v>16</v>
      </c>
      <c r="K1554" s="41" t="s">
        <v>106</v>
      </c>
      <c r="L1554" s="19" t="s">
        <v>20</v>
      </c>
      <c r="M1554" s="19">
        <v>292</v>
      </c>
      <c r="N1554" s="19">
        <v>293</v>
      </c>
      <c r="O1554" s="24">
        <f>IF(N1554/M1554*100&gt;110,110,N1554/M1554*100)</f>
        <v>100.34246575342465</v>
      </c>
      <c r="P1554" s="468"/>
      <c r="Q1554" s="35"/>
      <c r="R1554" s="19"/>
      <c r="S1554" s="557"/>
      <c r="T1554" s="2"/>
    </row>
    <row r="1555" spans="1:20" s="1" customFormat="1" x14ac:dyDescent="0.35">
      <c r="A1555" s="605"/>
      <c r="B1555" s="541"/>
      <c r="C1555" s="19" t="s">
        <v>21</v>
      </c>
      <c r="D1555" s="41" t="s">
        <v>135</v>
      </c>
      <c r="E1555" s="19" t="s">
        <v>18</v>
      </c>
      <c r="F1555" s="19">
        <v>100</v>
      </c>
      <c r="G1555" s="19">
        <v>100</v>
      </c>
      <c r="H1555" s="24">
        <f>IF(G1555/F1555*100&gt;100,100,G1555/F1555*100)</f>
        <v>100</v>
      </c>
      <c r="I1555" s="19"/>
      <c r="J1555" s="19"/>
      <c r="K1555" s="455"/>
      <c r="L1555" s="19"/>
      <c r="M1555" s="476"/>
      <c r="N1555" s="476"/>
      <c r="O1555" s="24"/>
      <c r="P1555" s="468"/>
      <c r="Q1555" s="35"/>
      <c r="R1555" s="19"/>
      <c r="S1555" s="557"/>
      <c r="T1555" s="2"/>
    </row>
    <row r="1556" spans="1:20" s="1" customFormat="1" ht="48.75" customHeight="1" x14ac:dyDescent="0.35">
      <c r="A1556" s="605"/>
      <c r="B1556" s="541"/>
      <c r="C1556" s="19" t="s">
        <v>23</v>
      </c>
      <c r="D1556" s="41" t="s">
        <v>108</v>
      </c>
      <c r="E1556" s="19" t="s">
        <v>18</v>
      </c>
      <c r="F1556" s="19">
        <v>100</v>
      </c>
      <c r="G1556" s="19">
        <v>100</v>
      </c>
      <c r="H1556" s="24">
        <f>IF(G1556/F1556*100&gt;100,100,G1556/F1556*100)</f>
        <v>100</v>
      </c>
      <c r="I1556" s="19"/>
      <c r="J1556" s="129"/>
      <c r="K1556" s="41"/>
      <c r="L1556" s="19"/>
      <c r="M1556" s="122"/>
      <c r="N1556" s="122"/>
      <c r="O1556" s="24"/>
      <c r="P1556" s="468"/>
      <c r="Q1556" s="35"/>
      <c r="R1556" s="19"/>
      <c r="S1556" s="557"/>
      <c r="T1556" s="2"/>
    </row>
    <row r="1557" spans="1:20" s="1" customFormat="1" ht="78.75" customHeight="1" x14ac:dyDescent="0.35">
      <c r="A1557" s="605"/>
      <c r="B1557" s="541"/>
      <c r="C1557" s="19" t="s">
        <v>109</v>
      </c>
      <c r="D1557" s="41" t="s">
        <v>17</v>
      </c>
      <c r="E1557" s="19" t="s">
        <v>18</v>
      </c>
      <c r="F1557" s="19">
        <v>90</v>
      </c>
      <c r="G1557" s="19">
        <v>100</v>
      </c>
      <c r="H1557" s="24">
        <f>IF(G1557/F1557*100&gt;100,100,G1557/F1557*100)</f>
        <v>100</v>
      </c>
      <c r="I1557" s="19"/>
      <c r="J1557" s="129"/>
      <c r="K1557" s="41"/>
      <c r="L1557" s="19"/>
      <c r="M1557" s="122"/>
      <c r="N1557" s="122"/>
      <c r="O1557" s="24"/>
      <c r="P1557" s="468"/>
      <c r="Q1557" s="35"/>
      <c r="R1557" s="19"/>
      <c r="S1557" s="557"/>
      <c r="T1557" s="2"/>
    </row>
    <row r="1558" spans="1:20" s="1" customFormat="1" ht="126" customHeight="1" x14ac:dyDescent="0.35">
      <c r="A1558" s="605"/>
      <c r="B1558" s="541"/>
      <c r="C1558" s="19" t="s">
        <v>110</v>
      </c>
      <c r="D1558" s="41" t="s">
        <v>111</v>
      </c>
      <c r="E1558" s="19" t="s">
        <v>18</v>
      </c>
      <c r="F1558" s="19">
        <v>100</v>
      </c>
      <c r="G1558" s="19">
        <v>100</v>
      </c>
      <c r="H1558" s="24">
        <f>IF(G1558/F1558*100&gt;100,100,G1558/F1558*100)</f>
        <v>100</v>
      </c>
      <c r="I1558" s="19"/>
      <c r="J1558" s="129"/>
      <c r="K1558" s="41"/>
      <c r="L1558" s="19"/>
      <c r="M1558" s="122"/>
      <c r="N1558" s="122"/>
      <c r="O1558" s="24"/>
      <c r="P1558" s="468"/>
      <c r="Q1558" s="35"/>
      <c r="R1558" s="19"/>
      <c r="S1558" s="557"/>
      <c r="T1558" s="2"/>
    </row>
    <row r="1559" spans="1:20" s="1" customFormat="1" ht="40.5" customHeight="1" x14ac:dyDescent="0.35">
      <c r="A1559" s="605"/>
      <c r="B1559" s="541"/>
      <c r="C1559" s="465"/>
      <c r="D1559" s="466" t="s">
        <v>644</v>
      </c>
      <c r="E1559" s="465"/>
      <c r="F1559" s="20"/>
      <c r="G1559" s="20"/>
      <c r="H1559" s="18"/>
      <c r="I1559" s="18">
        <f>(H1554+H1555+H1556+H1557+H1558)/5</f>
        <v>100</v>
      </c>
      <c r="J1559" s="128"/>
      <c r="K1559" s="466" t="s">
        <v>644</v>
      </c>
      <c r="L1559" s="20"/>
      <c r="M1559" s="124"/>
      <c r="N1559" s="124"/>
      <c r="O1559" s="18"/>
      <c r="P1559" s="18">
        <f>O1554</f>
        <v>100.34246575342465</v>
      </c>
      <c r="Q1559" s="18">
        <f>(I1559+P1559)/2</f>
        <v>100.17123287671232</v>
      </c>
      <c r="R1559" s="465" t="s">
        <v>25</v>
      </c>
      <c r="S1559" s="557"/>
      <c r="T1559" s="2"/>
    </row>
    <row r="1560" spans="1:20" s="1" customFormat="1" ht="83.25" customHeight="1" x14ac:dyDescent="0.35">
      <c r="A1560" s="605"/>
      <c r="B1560" s="541"/>
      <c r="C1560" s="454" t="s">
        <v>26</v>
      </c>
      <c r="D1560" s="59" t="s">
        <v>113</v>
      </c>
      <c r="E1560" s="19"/>
      <c r="F1560" s="19"/>
      <c r="G1560" s="19"/>
      <c r="H1560" s="35"/>
      <c r="I1560" s="35"/>
      <c r="J1560" s="454" t="s">
        <v>26</v>
      </c>
      <c r="K1560" s="59" t="s">
        <v>113</v>
      </c>
      <c r="L1560" s="19"/>
      <c r="M1560" s="122"/>
      <c r="N1560" s="122"/>
      <c r="O1560" s="35"/>
      <c r="P1560" s="468"/>
      <c r="Q1560" s="35"/>
      <c r="R1560" s="19"/>
      <c r="S1560" s="557"/>
      <c r="T1560" s="2"/>
    </row>
    <row r="1561" spans="1:20" s="1" customFormat="1" ht="66" customHeight="1" x14ac:dyDescent="0.35">
      <c r="A1561" s="605"/>
      <c r="B1561" s="541"/>
      <c r="C1561" s="19" t="s">
        <v>28</v>
      </c>
      <c r="D1561" s="41" t="s">
        <v>114</v>
      </c>
      <c r="E1561" s="19" t="s">
        <v>18</v>
      </c>
      <c r="F1561" s="19">
        <v>100</v>
      </c>
      <c r="G1561" s="19">
        <v>100</v>
      </c>
      <c r="H1561" s="24">
        <f>IF(G1561/F1561*100&gt;100,100,G1561/F1561*100)</f>
        <v>100</v>
      </c>
      <c r="I1561" s="19"/>
      <c r="J1561" s="129" t="s">
        <v>28</v>
      </c>
      <c r="K1561" s="41" t="s">
        <v>106</v>
      </c>
      <c r="L1561" s="19" t="s">
        <v>20</v>
      </c>
      <c r="M1561" s="19">
        <v>376</v>
      </c>
      <c r="N1561" s="19">
        <v>386</v>
      </c>
      <c r="O1561" s="24">
        <f>IF(N1561/M1561*100&gt;110,110,N1561/M1561*100)</f>
        <v>102.65957446808511</v>
      </c>
      <c r="P1561" s="19"/>
      <c r="Q1561" s="35"/>
      <c r="R1561" s="19"/>
      <c r="S1561" s="557"/>
      <c r="T1561" s="2"/>
    </row>
    <row r="1562" spans="1:20" s="1" customFormat="1" x14ac:dyDescent="0.35">
      <c r="A1562" s="605"/>
      <c r="B1562" s="541"/>
      <c r="C1562" s="19" t="s">
        <v>30</v>
      </c>
      <c r="D1562" s="41" t="s">
        <v>115</v>
      </c>
      <c r="E1562" s="19" t="s">
        <v>18</v>
      </c>
      <c r="F1562" s="19">
        <v>100</v>
      </c>
      <c r="G1562" s="19">
        <v>100</v>
      </c>
      <c r="H1562" s="24">
        <f>IF(G1562/F1562*100&gt;100,100,G1562/F1562*100)</f>
        <v>100</v>
      </c>
      <c r="I1562" s="19"/>
      <c r="J1562" s="129"/>
      <c r="K1562" s="41"/>
      <c r="L1562" s="19"/>
      <c r="M1562" s="122"/>
      <c r="N1562" s="122"/>
      <c r="O1562" s="24"/>
      <c r="P1562" s="468"/>
      <c r="Q1562" s="35"/>
      <c r="R1562" s="19"/>
      <c r="S1562" s="557"/>
      <c r="T1562" s="2"/>
    </row>
    <row r="1563" spans="1:20" s="1" customFormat="1" ht="57.75" customHeight="1" x14ac:dyDescent="0.35">
      <c r="A1563" s="605"/>
      <c r="B1563" s="541"/>
      <c r="C1563" s="19" t="s">
        <v>34</v>
      </c>
      <c r="D1563" s="41" t="s">
        <v>108</v>
      </c>
      <c r="E1563" s="19" t="s">
        <v>18</v>
      </c>
      <c r="F1563" s="19">
        <v>100</v>
      </c>
      <c r="G1563" s="19">
        <v>100</v>
      </c>
      <c r="H1563" s="24">
        <f>IF(G1563/F1563*100&gt;100,100,G1563/F1563*100)</f>
        <v>100</v>
      </c>
      <c r="I1563" s="19"/>
      <c r="J1563" s="129"/>
      <c r="K1563" s="41"/>
      <c r="L1563" s="19"/>
      <c r="M1563" s="122"/>
      <c r="N1563" s="122"/>
      <c r="O1563" s="24"/>
      <c r="P1563" s="468"/>
      <c r="Q1563" s="35"/>
      <c r="R1563" s="19"/>
      <c r="S1563" s="557"/>
      <c r="T1563" s="2"/>
    </row>
    <row r="1564" spans="1:20" s="1" customFormat="1" ht="82.5" customHeight="1" x14ac:dyDescent="0.35">
      <c r="A1564" s="605"/>
      <c r="B1564" s="541"/>
      <c r="C1564" s="19" t="s">
        <v>78</v>
      </c>
      <c r="D1564" s="41" t="s">
        <v>157</v>
      </c>
      <c r="E1564" s="19" t="s">
        <v>18</v>
      </c>
      <c r="F1564" s="19">
        <v>90</v>
      </c>
      <c r="G1564" s="19">
        <v>100</v>
      </c>
      <c r="H1564" s="24">
        <f>IF(G1564/F1564*100&gt;100,100,G1564/F1564*100)</f>
        <v>100</v>
      </c>
      <c r="I1564" s="19"/>
      <c r="J1564" s="129"/>
      <c r="K1564" s="41"/>
      <c r="L1564" s="19"/>
      <c r="M1564" s="122"/>
      <c r="N1564" s="122"/>
      <c r="O1564" s="24"/>
      <c r="P1564" s="468"/>
      <c r="Q1564" s="35"/>
      <c r="R1564" s="19"/>
      <c r="S1564" s="557"/>
      <c r="T1564" s="2"/>
    </row>
    <row r="1565" spans="1:20" s="1" customFormat="1" ht="123.75" customHeight="1" x14ac:dyDescent="0.35">
      <c r="A1565" s="605"/>
      <c r="B1565" s="541"/>
      <c r="C1565" s="19" t="s">
        <v>79</v>
      </c>
      <c r="D1565" s="41" t="s">
        <v>111</v>
      </c>
      <c r="E1565" s="19" t="s">
        <v>18</v>
      </c>
      <c r="F1565" s="19">
        <v>100</v>
      </c>
      <c r="G1565" s="19">
        <v>100</v>
      </c>
      <c r="H1565" s="24">
        <f>IF(G1565/F1565*100&gt;100,100,G1565/F1565*100)</f>
        <v>100</v>
      </c>
      <c r="I1565" s="19"/>
      <c r="J1565" s="129"/>
      <c r="K1565" s="41"/>
      <c r="L1565" s="19"/>
      <c r="M1565" s="122"/>
      <c r="N1565" s="122"/>
      <c r="O1565" s="24"/>
      <c r="P1565" s="468"/>
      <c r="Q1565" s="35"/>
      <c r="R1565" s="19"/>
      <c r="S1565" s="557"/>
      <c r="T1565" s="2"/>
    </row>
    <row r="1566" spans="1:20" s="1" customFormat="1" ht="40.5" customHeight="1" x14ac:dyDescent="0.35">
      <c r="A1566" s="605"/>
      <c r="B1566" s="541"/>
      <c r="C1566" s="465"/>
      <c r="D1566" s="466" t="s">
        <v>644</v>
      </c>
      <c r="E1566" s="465"/>
      <c r="F1566" s="20"/>
      <c r="G1566" s="20"/>
      <c r="H1566" s="18"/>
      <c r="I1566" s="18">
        <f>(H1561+H1562+H1563+H1564+H1565)/5</f>
        <v>100</v>
      </c>
      <c r="J1566" s="128"/>
      <c r="K1566" s="466" t="s">
        <v>644</v>
      </c>
      <c r="L1566" s="20"/>
      <c r="M1566" s="124"/>
      <c r="N1566" s="124"/>
      <c r="O1566" s="18"/>
      <c r="P1566" s="18">
        <f>O1561</f>
        <v>102.65957446808511</v>
      </c>
      <c r="Q1566" s="18">
        <f>(I1566+P1566)/2</f>
        <v>101.32978723404256</v>
      </c>
      <c r="R1566" s="465" t="s">
        <v>25</v>
      </c>
      <c r="S1566" s="557"/>
      <c r="T1566" s="2"/>
    </row>
    <row r="1567" spans="1:20" s="1" customFormat="1" ht="96.75" customHeight="1" x14ac:dyDescent="0.35">
      <c r="A1567" s="605"/>
      <c r="B1567" s="541"/>
      <c r="C1567" s="454" t="s">
        <v>36</v>
      </c>
      <c r="D1567" s="59" t="s">
        <v>116</v>
      </c>
      <c r="E1567" s="19"/>
      <c r="F1567" s="19"/>
      <c r="G1567" s="19"/>
      <c r="H1567" s="35"/>
      <c r="I1567" s="35"/>
      <c r="J1567" s="454" t="s">
        <v>36</v>
      </c>
      <c r="K1567" s="59" t="str">
        <f>D1567</f>
        <v>Реализация основных общеобразовательных программ среднего общего образования</v>
      </c>
      <c r="L1567" s="19"/>
      <c r="M1567" s="122"/>
      <c r="N1567" s="122"/>
      <c r="O1567" s="35"/>
      <c r="P1567" s="468"/>
      <c r="Q1567" s="35"/>
      <c r="R1567" s="19"/>
      <c r="S1567" s="557"/>
      <c r="T1567" s="2"/>
    </row>
    <row r="1568" spans="1:20" s="1" customFormat="1" ht="84" customHeight="1" x14ac:dyDescent="0.35">
      <c r="A1568" s="605"/>
      <c r="B1568" s="541"/>
      <c r="C1568" s="19" t="s">
        <v>38</v>
      </c>
      <c r="D1568" s="41" t="s">
        <v>117</v>
      </c>
      <c r="E1568" s="19" t="s">
        <v>18</v>
      </c>
      <c r="F1568" s="19">
        <v>100</v>
      </c>
      <c r="G1568" s="19">
        <v>100</v>
      </c>
      <c r="H1568" s="24">
        <f>IF(G1568/F1568*100&gt;100,100,G1568/F1568*100)</f>
        <v>100</v>
      </c>
      <c r="I1568" s="19"/>
      <c r="J1568" s="129" t="s">
        <v>38</v>
      </c>
      <c r="K1568" s="41" t="s">
        <v>106</v>
      </c>
      <c r="L1568" s="19" t="s">
        <v>20</v>
      </c>
      <c r="M1568" s="19">
        <v>64</v>
      </c>
      <c r="N1568" s="19">
        <v>62</v>
      </c>
      <c r="O1568" s="24">
        <f>IF(N1568/M1568*100&gt;110,110,N1568/M1568*100)</f>
        <v>96.875</v>
      </c>
      <c r="P1568" s="19"/>
      <c r="Q1568" s="35"/>
      <c r="R1568" s="19"/>
      <c r="S1568" s="557"/>
      <c r="T1568" s="2"/>
    </row>
    <row r="1569" spans="1:20" s="1" customFormat="1" x14ac:dyDescent="0.35">
      <c r="A1569" s="605"/>
      <c r="B1569" s="541"/>
      <c r="C1569" s="19" t="s">
        <v>118</v>
      </c>
      <c r="D1569" s="41" t="s">
        <v>119</v>
      </c>
      <c r="E1569" s="19" t="s">
        <v>18</v>
      </c>
      <c r="F1569" s="19">
        <v>100</v>
      </c>
      <c r="G1569" s="19">
        <v>100</v>
      </c>
      <c r="H1569" s="24">
        <f>IF(G1569/F1569*100&gt;100,100,G1569/F1569*100)</f>
        <v>100</v>
      </c>
      <c r="I1569" s="19"/>
      <c r="J1569" s="129"/>
      <c r="K1569" s="41"/>
      <c r="L1569" s="19"/>
      <c r="M1569" s="122"/>
      <c r="N1569" s="122"/>
      <c r="O1569" s="24"/>
      <c r="P1569" s="468"/>
      <c r="Q1569" s="35"/>
      <c r="R1569" s="19"/>
      <c r="S1569" s="557"/>
      <c r="T1569" s="2"/>
    </row>
    <row r="1570" spans="1:20" s="1" customFormat="1" ht="42.75" customHeight="1" x14ac:dyDescent="0.35">
      <c r="A1570" s="605"/>
      <c r="B1570" s="541"/>
      <c r="C1570" s="19" t="s">
        <v>120</v>
      </c>
      <c r="D1570" s="41" t="s">
        <v>108</v>
      </c>
      <c r="E1570" s="19" t="s">
        <v>18</v>
      </c>
      <c r="F1570" s="19">
        <v>100</v>
      </c>
      <c r="G1570" s="19">
        <v>100</v>
      </c>
      <c r="H1570" s="24">
        <f>IF(G1570/F1570*100&gt;100,100,G1570/F1570*100)</f>
        <v>100</v>
      </c>
      <c r="I1570" s="19"/>
      <c r="J1570" s="129"/>
      <c r="K1570" s="41"/>
      <c r="L1570" s="19"/>
      <c r="M1570" s="122"/>
      <c r="N1570" s="122"/>
      <c r="O1570" s="24"/>
      <c r="P1570" s="468"/>
      <c r="Q1570" s="35"/>
      <c r="R1570" s="19"/>
      <c r="S1570" s="557"/>
      <c r="T1570" s="2"/>
    </row>
    <row r="1571" spans="1:20" s="1" customFormat="1" ht="55.5" customHeight="1" x14ac:dyDescent="0.35">
      <c r="A1571" s="605"/>
      <c r="B1571" s="541"/>
      <c r="C1571" s="19" t="s">
        <v>121</v>
      </c>
      <c r="D1571" s="41" t="s">
        <v>157</v>
      </c>
      <c r="E1571" s="19" t="s">
        <v>18</v>
      </c>
      <c r="F1571" s="19">
        <v>90</v>
      </c>
      <c r="G1571" s="19">
        <v>100</v>
      </c>
      <c r="H1571" s="24">
        <f>IF(G1571/F1571*100&gt;100,100,G1571/F1571*100)</f>
        <v>100</v>
      </c>
      <c r="I1571" s="19"/>
      <c r="J1571" s="129"/>
      <c r="K1571" s="41"/>
      <c r="L1571" s="19"/>
      <c r="M1571" s="122"/>
      <c r="N1571" s="122"/>
      <c r="O1571" s="24"/>
      <c r="P1571" s="468"/>
      <c r="Q1571" s="35"/>
      <c r="R1571" s="19"/>
      <c r="S1571" s="557"/>
      <c r="T1571" s="2"/>
    </row>
    <row r="1572" spans="1:20" s="1" customFormat="1" ht="121.5" customHeight="1" x14ac:dyDescent="0.35">
      <c r="A1572" s="605"/>
      <c r="B1572" s="541"/>
      <c r="C1572" s="19" t="s">
        <v>122</v>
      </c>
      <c r="D1572" s="41" t="s">
        <v>111</v>
      </c>
      <c r="E1572" s="19" t="s">
        <v>18</v>
      </c>
      <c r="F1572" s="19">
        <v>100</v>
      </c>
      <c r="G1572" s="19">
        <v>100</v>
      </c>
      <c r="H1572" s="24">
        <f>IF(G1572/F1572*100&gt;100,100,G1572/F1572*100)</f>
        <v>100</v>
      </c>
      <c r="I1572" s="19"/>
      <c r="J1572" s="129"/>
      <c r="K1572" s="41"/>
      <c r="L1572" s="19"/>
      <c r="M1572" s="122"/>
      <c r="N1572" s="122"/>
      <c r="O1572" s="24"/>
      <c r="P1572" s="468"/>
      <c r="Q1572" s="35"/>
      <c r="R1572" s="19"/>
      <c r="S1572" s="557"/>
      <c r="T1572" s="2"/>
    </row>
    <row r="1573" spans="1:20" s="1" customFormat="1" ht="40.5" customHeight="1" x14ac:dyDescent="0.35">
      <c r="A1573" s="605"/>
      <c r="B1573" s="541"/>
      <c r="C1573" s="465"/>
      <c r="D1573" s="466" t="s">
        <v>644</v>
      </c>
      <c r="E1573" s="465"/>
      <c r="F1573" s="20"/>
      <c r="G1573" s="20"/>
      <c r="H1573" s="18"/>
      <c r="I1573" s="18">
        <f>(H1568+H1569+H1570+H1571+H1572)/5</f>
        <v>100</v>
      </c>
      <c r="J1573" s="128"/>
      <c r="K1573" s="466" t="s">
        <v>644</v>
      </c>
      <c r="L1573" s="20"/>
      <c r="M1573" s="124"/>
      <c r="N1573" s="124"/>
      <c r="O1573" s="18"/>
      <c r="P1573" s="18">
        <f>O1568</f>
        <v>96.875</v>
      </c>
      <c r="Q1573" s="18">
        <f>(I1573+P1573)/2</f>
        <v>98.4375</v>
      </c>
      <c r="R1573" s="465" t="s">
        <v>112</v>
      </c>
      <c r="S1573" s="557"/>
      <c r="T1573" s="2"/>
    </row>
    <row r="1574" spans="1:20" s="1" customFormat="1" ht="30.75" customHeight="1" x14ac:dyDescent="0.35">
      <c r="A1574" s="605"/>
      <c r="B1574" s="541"/>
      <c r="C1574" s="454" t="s">
        <v>123</v>
      </c>
      <c r="D1574" s="59" t="s">
        <v>27</v>
      </c>
      <c r="E1574" s="19"/>
      <c r="F1574" s="19"/>
      <c r="G1574" s="19"/>
      <c r="H1574" s="35"/>
      <c r="I1574" s="35"/>
      <c r="J1574" s="454" t="s">
        <v>123</v>
      </c>
      <c r="K1574" s="59" t="s">
        <v>27</v>
      </c>
      <c r="L1574" s="19"/>
      <c r="M1574" s="122"/>
      <c r="N1574" s="122"/>
      <c r="O1574" s="35"/>
      <c r="P1574" s="468"/>
      <c r="Q1574" s="35"/>
      <c r="R1574" s="19"/>
      <c r="S1574" s="557"/>
      <c r="T1574" s="2"/>
    </row>
    <row r="1575" spans="1:20" s="1" customFormat="1" ht="51.75" customHeight="1" x14ac:dyDescent="0.35">
      <c r="A1575" s="605"/>
      <c r="B1575" s="541"/>
      <c r="C1575" s="19" t="s">
        <v>124</v>
      </c>
      <c r="D1575" s="41" t="s">
        <v>125</v>
      </c>
      <c r="E1575" s="19" t="s">
        <v>18</v>
      </c>
      <c r="F1575" s="19">
        <v>100</v>
      </c>
      <c r="G1575" s="19">
        <v>100</v>
      </c>
      <c r="H1575" s="24">
        <f>IF(G1575/F1575*100&gt;100,100,G1575/F1575*100)</f>
        <v>100</v>
      </c>
      <c r="I1575" s="19"/>
      <c r="J1575" s="129" t="s">
        <v>124</v>
      </c>
      <c r="K1575" s="41" t="s">
        <v>106</v>
      </c>
      <c r="L1575" s="19" t="s">
        <v>20</v>
      </c>
      <c r="M1575" s="19">
        <v>95</v>
      </c>
      <c r="N1575" s="19">
        <v>95</v>
      </c>
      <c r="O1575" s="24">
        <f>IF(N1575/M1575*100&gt;110,110,N1575/M1575*100)</f>
        <v>100</v>
      </c>
      <c r="P1575" s="468"/>
      <c r="Q1575" s="35"/>
      <c r="R1575" s="19"/>
      <c r="S1575" s="557"/>
      <c r="T1575" s="2"/>
    </row>
    <row r="1576" spans="1:20" s="1" customFormat="1" ht="84" customHeight="1" x14ac:dyDescent="0.35">
      <c r="A1576" s="605"/>
      <c r="B1576" s="541"/>
      <c r="C1576" s="19" t="s">
        <v>127</v>
      </c>
      <c r="D1576" s="41" t="s">
        <v>128</v>
      </c>
      <c r="E1576" s="19" t="s">
        <v>18</v>
      </c>
      <c r="F1576" s="19">
        <v>90</v>
      </c>
      <c r="G1576" s="19">
        <v>90</v>
      </c>
      <c r="H1576" s="24">
        <f>IF(G1576/F1576*100&gt;100,100,G1576/F1576*100)</f>
        <v>100</v>
      </c>
      <c r="I1576" s="19"/>
      <c r="J1576" s="129"/>
      <c r="K1576" s="41"/>
      <c r="L1576" s="19"/>
      <c r="M1576" s="122"/>
      <c r="N1576" s="122"/>
      <c r="O1576" s="24"/>
      <c r="P1576" s="468"/>
      <c r="Q1576" s="35"/>
      <c r="R1576" s="19"/>
      <c r="S1576" s="557"/>
      <c r="T1576" s="2"/>
    </row>
    <row r="1577" spans="1:20" s="1" customFormat="1" ht="40.5" customHeight="1" x14ac:dyDescent="0.35">
      <c r="A1577" s="605"/>
      <c r="B1577" s="541"/>
      <c r="C1577" s="465"/>
      <c r="D1577" s="466" t="s">
        <v>644</v>
      </c>
      <c r="E1577" s="465"/>
      <c r="F1577" s="20"/>
      <c r="G1577" s="20"/>
      <c r="H1577" s="18"/>
      <c r="I1577" s="18">
        <f>(H1575+H1576)/2</f>
        <v>100</v>
      </c>
      <c r="J1577" s="128"/>
      <c r="K1577" s="466" t="s">
        <v>644</v>
      </c>
      <c r="L1577" s="20"/>
      <c r="M1577" s="124"/>
      <c r="N1577" s="124"/>
      <c r="O1577" s="18"/>
      <c r="P1577" s="18">
        <f>O1575</f>
        <v>100</v>
      </c>
      <c r="Q1577" s="18">
        <f>(I1577+P1577)/2</f>
        <v>100</v>
      </c>
      <c r="R1577" s="465" t="s">
        <v>25</v>
      </c>
      <c r="S1577" s="557"/>
      <c r="T1577" s="2"/>
    </row>
    <row r="1578" spans="1:20" s="1" customFormat="1" ht="251.25" customHeight="1" x14ac:dyDescent="0.35">
      <c r="A1578" s="605"/>
      <c r="B1578" s="541"/>
      <c r="C1578" s="454" t="s">
        <v>129</v>
      </c>
      <c r="D1578" s="59" t="s">
        <v>274</v>
      </c>
      <c r="E1578" s="454"/>
      <c r="F1578" s="454"/>
      <c r="G1578" s="454"/>
      <c r="H1578" s="35"/>
      <c r="I1578" s="35"/>
      <c r="J1578" s="454" t="s">
        <v>129</v>
      </c>
      <c r="K1578" s="59" t="s">
        <v>274</v>
      </c>
      <c r="L1578" s="19"/>
      <c r="M1578" s="19"/>
      <c r="N1578" s="19"/>
      <c r="O1578" s="35"/>
      <c r="P1578" s="468"/>
      <c r="Q1578" s="35"/>
      <c r="R1578" s="19"/>
      <c r="S1578" s="557"/>
      <c r="T1578" s="2"/>
    </row>
    <row r="1579" spans="1:20" s="1" customFormat="1" ht="80.25" customHeight="1" x14ac:dyDescent="0.35">
      <c r="A1579" s="605"/>
      <c r="B1579" s="541"/>
      <c r="C1579" s="19" t="s">
        <v>131</v>
      </c>
      <c r="D1579" s="41" t="s">
        <v>17</v>
      </c>
      <c r="E1579" s="19" t="s">
        <v>18</v>
      </c>
      <c r="F1579" s="19">
        <v>90</v>
      </c>
      <c r="G1579" s="19">
        <v>90</v>
      </c>
      <c r="H1579" s="24">
        <f>IF(G1579/F1579*100&gt;100,100,G1579/F1579*100)</f>
        <v>100</v>
      </c>
      <c r="I1579" s="19"/>
      <c r="J1579" s="19" t="s">
        <v>131</v>
      </c>
      <c r="K1579" s="41" t="s">
        <v>273</v>
      </c>
      <c r="L1579" s="19" t="s">
        <v>41</v>
      </c>
      <c r="M1579" s="19">
        <v>105</v>
      </c>
      <c r="N1579" s="19">
        <v>105</v>
      </c>
      <c r="O1579" s="24">
        <f>IF(N1579/M1579*100&gt;110,110,N1579/M1579*100)</f>
        <v>100</v>
      </c>
      <c r="P1579" s="468"/>
      <c r="Q1579" s="35"/>
      <c r="R1579" s="19"/>
      <c r="S1579" s="557"/>
      <c r="T1579" s="2"/>
    </row>
    <row r="1580" spans="1:20" s="1" customFormat="1" ht="54.75" customHeight="1" x14ac:dyDescent="0.35">
      <c r="A1580" s="605"/>
      <c r="B1580" s="541"/>
      <c r="C1580" s="465"/>
      <c r="D1580" s="466" t="s">
        <v>644</v>
      </c>
      <c r="E1580" s="465"/>
      <c r="F1580" s="20"/>
      <c r="G1580" s="20"/>
      <c r="H1580" s="18"/>
      <c r="I1580" s="18">
        <f>H1579</f>
        <v>100</v>
      </c>
      <c r="J1580" s="128"/>
      <c r="K1580" s="466" t="s">
        <v>644</v>
      </c>
      <c r="L1580" s="20"/>
      <c r="M1580" s="124"/>
      <c r="N1580" s="124"/>
      <c r="O1580" s="18"/>
      <c r="P1580" s="18">
        <f>O1579</f>
        <v>100</v>
      </c>
      <c r="Q1580" s="18">
        <f>(I1580+P1580)/2</f>
        <v>100</v>
      </c>
      <c r="R1580" s="465" t="s">
        <v>25</v>
      </c>
      <c r="S1580" s="557"/>
      <c r="T1580" s="2"/>
    </row>
    <row r="1581" spans="1:20" s="1" customFormat="1" ht="62.25" customHeight="1" x14ac:dyDescent="0.35">
      <c r="A1581" s="605"/>
      <c r="B1581" s="541"/>
      <c r="C1581" s="454" t="s">
        <v>140</v>
      </c>
      <c r="D1581" s="59" t="s">
        <v>130</v>
      </c>
      <c r="E1581" s="19"/>
      <c r="F1581" s="19"/>
      <c r="G1581" s="19"/>
      <c r="H1581" s="35"/>
      <c r="I1581" s="35"/>
      <c r="J1581" s="454" t="s">
        <v>140</v>
      </c>
      <c r="K1581" s="59" t="str">
        <f>D1581</f>
        <v>Реализация дополнительных общеразвивающих программ</v>
      </c>
      <c r="L1581" s="19"/>
      <c r="M1581" s="122"/>
      <c r="N1581" s="122"/>
      <c r="O1581" s="35"/>
      <c r="P1581" s="468"/>
      <c r="Q1581" s="35"/>
      <c r="R1581" s="19"/>
      <c r="S1581" s="557"/>
      <c r="T1581" s="2"/>
    </row>
    <row r="1582" spans="1:20" s="1" customFormat="1" ht="77.25" customHeight="1" x14ac:dyDescent="0.35">
      <c r="A1582" s="605"/>
      <c r="B1582" s="541"/>
      <c r="C1582" s="19" t="s">
        <v>142</v>
      </c>
      <c r="D1582" s="41" t="s">
        <v>128</v>
      </c>
      <c r="E1582" s="19" t="s">
        <v>18</v>
      </c>
      <c r="F1582" s="19">
        <v>90</v>
      </c>
      <c r="G1582" s="19">
        <v>90</v>
      </c>
      <c r="H1582" s="24">
        <f>IF(G1582/F1582*100&gt;100,100,G1582/F1582*100)</f>
        <v>100</v>
      </c>
      <c r="I1582" s="19"/>
      <c r="J1582" s="129" t="s">
        <v>142</v>
      </c>
      <c r="K1582" s="41" t="s">
        <v>136</v>
      </c>
      <c r="L1582" s="19" t="s">
        <v>139</v>
      </c>
      <c r="M1582" s="19">
        <v>36720</v>
      </c>
      <c r="N1582" s="487">
        <v>36720</v>
      </c>
      <c r="O1582" s="24">
        <f>IF(N1582/M1582*100&gt;110,110,N1582/M1582*100)</f>
        <v>100</v>
      </c>
      <c r="P1582" s="468"/>
      <c r="Q1582" s="35"/>
      <c r="R1582" s="19"/>
      <c r="S1582" s="557"/>
      <c r="T1582" s="2"/>
    </row>
    <row r="1583" spans="1:20" s="1" customFormat="1" ht="39" customHeight="1" x14ac:dyDescent="0.35">
      <c r="A1583" s="605"/>
      <c r="B1583" s="541"/>
      <c r="C1583" s="465"/>
      <c r="D1583" s="466" t="s">
        <v>644</v>
      </c>
      <c r="E1583" s="465"/>
      <c r="F1583" s="20"/>
      <c r="G1583" s="20"/>
      <c r="H1583" s="18"/>
      <c r="I1583" s="18">
        <f>H1582</f>
        <v>100</v>
      </c>
      <c r="J1583" s="128"/>
      <c r="K1583" s="466" t="s">
        <v>644</v>
      </c>
      <c r="L1583" s="20"/>
      <c r="M1583" s="124"/>
      <c r="N1583" s="124"/>
      <c r="O1583" s="18"/>
      <c r="P1583" s="18">
        <f>O1582</f>
        <v>100</v>
      </c>
      <c r="Q1583" s="18">
        <f>(I1583+P1583)/2</f>
        <v>100</v>
      </c>
      <c r="R1583" s="465" t="s">
        <v>25</v>
      </c>
      <c r="S1583" s="557"/>
      <c r="T1583" s="2"/>
    </row>
    <row r="1584" spans="1:20" s="1" customFormat="1" ht="78.75" customHeight="1" x14ac:dyDescent="0.35">
      <c r="A1584" s="605">
        <v>71</v>
      </c>
      <c r="B1584" s="541" t="s">
        <v>204</v>
      </c>
      <c r="C1584" s="454" t="s">
        <v>13</v>
      </c>
      <c r="D1584" s="59" t="s">
        <v>103</v>
      </c>
      <c r="E1584" s="454"/>
      <c r="F1584" s="454"/>
      <c r="G1584" s="454"/>
      <c r="H1584" s="35"/>
      <c r="I1584" s="35"/>
      <c r="J1584" s="454" t="s">
        <v>13</v>
      </c>
      <c r="K1584" s="59" t="s">
        <v>103</v>
      </c>
      <c r="L1584" s="19"/>
      <c r="M1584" s="19"/>
      <c r="N1584" s="19"/>
      <c r="O1584" s="35"/>
      <c r="P1584" s="468"/>
      <c r="Q1584" s="35"/>
      <c r="R1584" s="19"/>
      <c r="S1584" s="557" t="s">
        <v>104</v>
      </c>
      <c r="T1584" s="2"/>
    </row>
    <row r="1585" spans="1:20" s="1" customFormat="1" ht="85.5" customHeight="1" x14ac:dyDescent="0.35">
      <c r="A1585" s="605"/>
      <c r="B1585" s="541"/>
      <c r="C1585" s="19" t="s">
        <v>16</v>
      </c>
      <c r="D1585" s="41" t="s">
        <v>105</v>
      </c>
      <c r="E1585" s="19" t="s">
        <v>18</v>
      </c>
      <c r="F1585" s="19">
        <v>100</v>
      </c>
      <c r="G1585" s="19">
        <v>100</v>
      </c>
      <c r="H1585" s="24">
        <f>IF(G1585/F1585*100&gt;100,100,G1585/F1585*100)</f>
        <v>100</v>
      </c>
      <c r="I1585" s="19"/>
      <c r="J1585" s="19" t="s">
        <v>16</v>
      </c>
      <c r="K1585" s="41" t="s">
        <v>106</v>
      </c>
      <c r="L1585" s="19" t="s">
        <v>20</v>
      </c>
      <c r="M1585" s="19">
        <v>209</v>
      </c>
      <c r="N1585" s="19">
        <v>211</v>
      </c>
      <c r="O1585" s="24">
        <f>IF(N1585/M1585*100&gt;110,110,N1585/M1585*100)</f>
        <v>100.95693779904306</v>
      </c>
      <c r="P1585" s="468"/>
      <c r="Q1585" s="35"/>
      <c r="R1585" s="19"/>
      <c r="S1585" s="557"/>
      <c r="T1585" s="2"/>
    </row>
    <row r="1586" spans="1:20" s="1" customFormat="1" x14ac:dyDescent="0.35">
      <c r="A1586" s="605"/>
      <c r="B1586" s="541"/>
      <c r="C1586" s="19" t="s">
        <v>21</v>
      </c>
      <c r="D1586" s="41" t="s">
        <v>135</v>
      </c>
      <c r="E1586" s="19" t="s">
        <v>18</v>
      </c>
      <c r="F1586" s="19">
        <v>100</v>
      </c>
      <c r="G1586" s="19">
        <v>100</v>
      </c>
      <c r="H1586" s="24">
        <f>IF(G1586/F1586*100&gt;100,100,G1586/F1586*100)</f>
        <v>100</v>
      </c>
      <c r="I1586" s="19"/>
      <c r="J1586" s="19"/>
      <c r="K1586" s="455"/>
      <c r="L1586" s="19"/>
      <c r="M1586" s="476"/>
      <c r="N1586" s="476"/>
      <c r="O1586" s="24"/>
      <c r="P1586" s="468"/>
      <c r="Q1586" s="35"/>
      <c r="R1586" s="19"/>
      <c r="S1586" s="557"/>
      <c r="T1586" s="2"/>
    </row>
    <row r="1587" spans="1:20" s="1" customFormat="1" ht="45.75" customHeight="1" x14ac:dyDescent="0.35">
      <c r="A1587" s="605"/>
      <c r="B1587" s="541"/>
      <c r="C1587" s="19" t="s">
        <v>23</v>
      </c>
      <c r="D1587" s="41" t="s">
        <v>108</v>
      </c>
      <c r="E1587" s="19" t="s">
        <v>18</v>
      </c>
      <c r="F1587" s="19">
        <v>100</v>
      </c>
      <c r="G1587" s="19">
        <v>100</v>
      </c>
      <c r="H1587" s="24">
        <f>IF(G1587/F1587*100&gt;100,100,G1587/F1587*100)</f>
        <v>100</v>
      </c>
      <c r="I1587" s="19"/>
      <c r="J1587" s="129"/>
      <c r="K1587" s="41"/>
      <c r="L1587" s="19"/>
      <c r="M1587" s="122"/>
      <c r="N1587" s="122"/>
      <c r="O1587" s="24"/>
      <c r="P1587" s="468"/>
      <c r="Q1587" s="35"/>
      <c r="R1587" s="19"/>
      <c r="S1587" s="557"/>
      <c r="T1587" s="2"/>
    </row>
    <row r="1588" spans="1:20" s="1" customFormat="1" ht="59.25" customHeight="1" x14ac:dyDescent="0.35">
      <c r="A1588" s="605"/>
      <c r="B1588" s="541"/>
      <c r="C1588" s="19" t="s">
        <v>109</v>
      </c>
      <c r="D1588" s="41" t="s">
        <v>157</v>
      </c>
      <c r="E1588" s="19" t="s">
        <v>18</v>
      </c>
      <c r="F1588" s="19">
        <v>90</v>
      </c>
      <c r="G1588" s="19">
        <v>100</v>
      </c>
      <c r="H1588" s="24">
        <f>IF(G1588/F1588*100&gt;100,100,G1588/F1588*100)</f>
        <v>100</v>
      </c>
      <c r="I1588" s="19"/>
      <c r="J1588" s="129"/>
      <c r="K1588" s="41"/>
      <c r="L1588" s="19"/>
      <c r="M1588" s="122"/>
      <c r="N1588" s="122"/>
      <c r="O1588" s="24"/>
      <c r="P1588" s="468"/>
      <c r="Q1588" s="35"/>
      <c r="R1588" s="19"/>
      <c r="S1588" s="557"/>
      <c r="T1588" s="2"/>
    </row>
    <row r="1589" spans="1:20" s="1" customFormat="1" ht="132.75" customHeight="1" x14ac:dyDescent="0.35">
      <c r="A1589" s="605"/>
      <c r="B1589" s="541"/>
      <c r="C1589" s="19" t="s">
        <v>110</v>
      </c>
      <c r="D1589" s="41" t="s">
        <v>111</v>
      </c>
      <c r="E1589" s="19" t="s">
        <v>18</v>
      </c>
      <c r="F1589" s="19">
        <v>100</v>
      </c>
      <c r="G1589" s="19">
        <v>100</v>
      </c>
      <c r="H1589" s="24">
        <f>IF(G1589/F1589*100&gt;100,100,G1589/F1589*100)</f>
        <v>100</v>
      </c>
      <c r="I1589" s="19"/>
      <c r="J1589" s="129"/>
      <c r="K1589" s="41"/>
      <c r="L1589" s="19"/>
      <c r="M1589" s="122"/>
      <c r="N1589" s="122"/>
      <c r="O1589" s="24"/>
      <c r="P1589" s="468"/>
      <c r="Q1589" s="35"/>
      <c r="R1589" s="19"/>
      <c r="S1589" s="557"/>
      <c r="T1589" s="2"/>
    </row>
    <row r="1590" spans="1:20" s="1" customFormat="1" ht="40.5" customHeight="1" x14ac:dyDescent="0.35">
      <c r="A1590" s="605"/>
      <c r="B1590" s="541"/>
      <c r="C1590" s="465"/>
      <c r="D1590" s="466" t="s">
        <v>644</v>
      </c>
      <c r="E1590" s="465"/>
      <c r="F1590" s="20"/>
      <c r="G1590" s="20"/>
      <c r="H1590" s="18"/>
      <c r="I1590" s="18">
        <f>(H1585+H1586+H1587+H1588+H1589)/5</f>
        <v>100</v>
      </c>
      <c r="J1590" s="128"/>
      <c r="K1590" s="466" t="s">
        <v>644</v>
      </c>
      <c r="L1590" s="20"/>
      <c r="M1590" s="124"/>
      <c r="N1590" s="124"/>
      <c r="O1590" s="18"/>
      <c r="P1590" s="18">
        <f>O1585</f>
        <v>100.95693779904306</v>
      </c>
      <c r="Q1590" s="18">
        <f>(I1590+P1590)/2</f>
        <v>100.47846889952153</v>
      </c>
      <c r="R1590" s="465" t="s">
        <v>25</v>
      </c>
      <c r="S1590" s="557"/>
      <c r="T1590" s="2"/>
    </row>
    <row r="1591" spans="1:20" s="1" customFormat="1" ht="72.75" customHeight="1" x14ac:dyDescent="0.35">
      <c r="A1591" s="605"/>
      <c r="B1591" s="541"/>
      <c r="C1591" s="454" t="s">
        <v>26</v>
      </c>
      <c r="D1591" s="59" t="s">
        <v>113</v>
      </c>
      <c r="E1591" s="19"/>
      <c r="F1591" s="19"/>
      <c r="G1591" s="19"/>
      <c r="H1591" s="35"/>
      <c r="I1591" s="35"/>
      <c r="J1591" s="454" t="s">
        <v>26</v>
      </c>
      <c r="K1591" s="59" t="s">
        <v>113</v>
      </c>
      <c r="L1591" s="19"/>
      <c r="M1591" s="122"/>
      <c r="N1591" s="122"/>
      <c r="O1591" s="35"/>
      <c r="P1591" s="468"/>
      <c r="Q1591" s="35"/>
      <c r="R1591" s="19"/>
      <c r="S1591" s="557"/>
      <c r="T1591" s="2"/>
    </row>
    <row r="1592" spans="1:20" s="1" customFormat="1" ht="76.5" customHeight="1" x14ac:dyDescent="0.35">
      <c r="A1592" s="605"/>
      <c r="B1592" s="541"/>
      <c r="C1592" s="19" t="s">
        <v>28</v>
      </c>
      <c r="D1592" s="41" t="s">
        <v>114</v>
      </c>
      <c r="E1592" s="19" t="s">
        <v>18</v>
      </c>
      <c r="F1592" s="19">
        <v>100</v>
      </c>
      <c r="G1592" s="19">
        <v>100</v>
      </c>
      <c r="H1592" s="24">
        <f>IF(G1592/F1592*100&gt;100,100,G1592/F1592*100)</f>
        <v>100</v>
      </c>
      <c r="I1592" s="19"/>
      <c r="J1592" s="129" t="s">
        <v>28</v>
      </c>
      <c r="K1592" s="41" t="s">
        <v>106</v>
      </c>
      <c r="L1592" s="19" t="s">
        <v>20</v>
      </c>
      <c r="M1592" s="19">
        <v>255</v>
      </c>
      <c r="N1592" s="19">
        <v>262</v>
      </c>
      <c r="O1592" s="24">
        <f>IF(N1592/M1592*100&gt;110,110,N1592/M1592*100)</f>
        <v>102.74509803921568</v>
      </c>
      <c r="P1592" s="19"/>
      <c r="Q1592" s="35"/>
      <c r="R1592" s="19"/>
      <c r="S1592" s="557"/>
      <c r="T1592" s="2"/>
    </row>
    <row r="1593" spans="1:20" s="1" customFormat="1" x14ac:dyDescent="0.35">
      <c r="A1593" s="605"/>
      <c r="B1593" s="541"/>
      <c r="C1593" s="19" t="s">
        <v>30</v>
      </c>
      <c r="D1593" s="41" t="s">
        <v>115</v>
      </c>
      <c r="E1593" s="19" t="s">
        <v>18</v>
      </c>
      <c r="F1593" s="19">
        <v>100</v>
      </c>
      <c r="G1593" s="19">
        <v>100</v>
      </c>
      <c r="H1593" s="24">
        <f>IF(G1593/F1593*100&gt;100,100,G1593/F1593*100)</f>
        <v>100</v>
      </c>
      <c r="I1593" s="19"/>
      <c r="J1593" s="129"/>
      <c r="K1593" s="41"/>
      <c r="L1593" s="19"/>
      <c r="M1593" s="122"/>
      <c r="N1593" s="122"/>
      <c r="O1593" s="24"/>
      <c r="P1593" s="468"/>
      <c r="Q1593" s="35"/>
      <c r="R1593" s="19"/>
      <c r="S1593" s="557"/>
      <c r="T1593" s="2"/>
    </row>
    <row r="1594" spans="1:20" s="1" customFormat="1" ht="59.25" customHeight="1" x14ac:dyDescent="0.35">
      <c r="A1594" s="605"/>
      <c r="B1594" s="541"/>
      <c r="C1594" s="19" t="s">
        <v>34</v>
      </c>
      <c r="D1594" s="41" t="s">
        <v>108</v>
      </c>
      <c r="E1594" s="19" t="s">
        <v>18</v>
      </c>
      <c r="F1594" s="19">
        <v>100</v>
      </c>
      <c r="G1594" s="19">
        <v>100</v>
      </c>
      <c r="H1594" s="24">
        <f>IF(G1594/F1594*100&gt;100,100,G1594/F1594*100)</f>
        <v>100</v>
      </c>
      <c r="I1594" s="19"/>
      <c r="J1594" s="129"/>
      <c r="K1594" s="41"/>
      <c r="L1594" s="19"/>
      <c r="M1594" s="122"/>
      <c r="N1594" s="122"/>
      <c r="O1594" s="24"/>
      <c r="P1594" s="468"/>
      <c r="Q1594" s="35"/>
      <c r="R1594" s="19"/>
      <c r="S1594" s="557"/>
      <c r="T1594" s="2"/>
    </row>
    <row r="1595" spans="1:20" s="1" customFormat="1" ht="57.75" customHeight="1" x14ac:dyDescent="0.35">
      <c r="A1595" s="605"/>
      <c r="B1595" s="541"/>
      <c r="C1595" s="19" t="s">
        <v>78</v>
      </c>
      <c r="D1595" s="41" t="s">
        <v>157</v>
      </c>
      <c r="E1595" s="19" t="s">
        <v>18</v>
      </c>
      <c r="F1595" s="19">
        <v>90</v>
      </c>
      <c r="G1595" s="19">
        <v>100</v>
      </c>
      <c r="H1595" s="24">
        <f>IF(G1595/F1595*100&gt;100,100,G1595/F1595*100)</f>
        <v>100</v>
      </c>
      <c r="I1595" s="19"/>
      <c r="J1595" s="129"/>
      <c r="K1595" s="41"/>
      <c r="L1595" s="19"/>
      <c r="M1595" s="122"/>
      <c r="N1595" s="122"/>
      <c r="O1595" s="24"/>
      <c r="P1595" s="468"/>
      <c r="Q1595" s="35"/>
      <c r="R1595" s="19"/>
      <c r="S1595" s="557"/>
      <c r="T1595" s="2"/>
    </row>
    <row r="1596" spans="1:20" s="1" customFormat="1" ht="128.25" customHeight="1" x14ac:dyDescent="0.35">
      <c r="A1596" s="605"/>
      <c r="B1596" s="541"/>
      <c r="C1596" s="19" t="s">
        <v>79</v>
      </c>
      <c r="D1596" s="41" t="s">
        <v>111</v>
      </c>
      <c r="E1596" s="19" t="s">
        <v>18</v>
      </c>
      <c r="F1596" s="19">
        <v>100</v>
      </c>
      <c r="G1596" s="19">
        <v>100</v>
      </c>
      <c r="H1596" s="24">
        <f>IF(G1596/F1596*100&gt;100,100,G1596/F1596*100)</f>
        <v>100</v>
      </c>
      <c r="I1596" s="19"/>
      <c r="J1596" s="129"/>
      <c r="K1596" s="41"/>
      <c r="L1596" s="19"/>
      <c r="M1596" s="122"/>
      <c r="N1596" s="122"/>
      <c r="O1596" s="24"/>
      <c r="P1596" s="468"/>
      <c r="Q1596" s="35"/>
      <c r="R1596" s="19"/>
      <c r="S1596" s="557"/>
      <c r="T1596" s="2"/>
    </row>
    <row r="1597" spans="1:20" s="1" customFormat="1" ht="40.5" customHeight="1" x14ac:dyDescent="0.35">
      <c r="A1597" s="605"/>
      <c r="B1597" s="541"/>
      <c r="C1597" s="465"/>
      <c r="D1597" s="466" t="s">
        <v>644</v>
      </c>
      <c r="E1597" s="465"/>
      <c r="F1597" s="20"/>
      <c r="G1597" s="20"/>
      <c r="H1597" s="18"/>
      <c r="I1597" s="18">
        <f>(H1592+H1593+H1594+H1595+H1596)/5</f>
        <v>100</v>
      </c>
      <c r="J1597" s="128"/>
      <c r="K1597" s="466" t="s">
        <v>644</v>
      </c>
      <c r="L1597" s="20"/>
      <c r="M1597" s="124"/>
      <c r="N1597" s="124"/>
      <c r="O1597" s="18"/>
      <c r="P1597" s="18">
        <f>O1592</f>
        <v>102.74509803921568</v>
      </c>
      <c r="Q1597" s="18">
        <f>(I1597+P1597)/2</f>
        <v>101.37254901960785</v>
      </c>
      <c r="R1597" s="465" t="s">
        <v>25</v>
      </c>
      <c r="S1597" s="557"/>
      <c r="T1597" s="2"/>
    </row>
    <row r="1598" spans="1:20" s="1" customFormat="1" ht="131.25" customHeight="1" x14ac:dyDescent="0.35">
      <c r="A1598" s="605"/>
      <c r="B1598" s="541"/>
      <c r="C1598" s="454" t="s">
        <v>36</v>
      </c>
      <c r="D1598" s="59" t="s">
        <v>116</v>
      </c>
      <c r="E1598" s="19"/>
      <c r="F1598" s="19"/>
      <c r="G1598" s="19"/>
      <c r="H1598" s="35"/>
      <c r="I1598" s="35"/>
      <c r="J1598" s="454" t="s">
        <v>36</v>
      </c>
      <c r="K1598" s="59" t="str">
        <f>D1598</f>
        <v>Реализация основных общеобразовательных программ среднего общего образования</v>
      </c>
      <c r="L1598" s="19"/>
      <c r="M1598" s="122"/>
      <c r="N1598" s="122"/>
      <c r="O1598" s="35"/>
      <c r="P1598" s="468"/>
      <c r="Q1598" s="35"/>
      <c r="R1598" s="19"/>
      <c r="S1598" s="557"/>
      <c r="T1598" s="2"/>
    </row>
    <row r="1599" spans="1:20" s="1" customFormat="1" ht="86.25" customHeight="1" x14ac:dyDescent="0.35">
      <c r="A1599" s="605"/>
      <c r="B1599" s="541"/>
      <c r="C1599" s="19" t="s">
        <v>38</v>
      </c>
      <c r="D1599" s="41" t="s">
        <v>117</v>
      </c>
      <c r="E1599" s="19" t="s">
        <v>18</v>
      </c>
      <c r="F1599" s="19">
        <v>100</v>
      </c>
      <c r="G1599" s="19">
        <v>100</v>
      </c>
      <c r="H1599" s="24">
        <f>IF(G1599/F1599*100&gt;100,100,G1599/F1599*100)</f>
        <v>100</v>
      </c>
      <c r="I1599" s="19"/>
      <c r="J1599" s="129" t="s">
        <v>38</v>
      </c>
      <c r="K1599" s="41" t="s">
        <v>106</v>
      </c>
      <c r="L1599" s="19" t="s">
        <v>20</v>
      </c>
      <c r="M1599" s="19">
        <v>47</v>
      </c>
      <c r="N1599" s="19">
        <v>47</v>
      </c>
      <c r="O1599" s="24">
        <f>IF(N1599/M1599*100&gt;110,110,N1599/M1599*100)</f>
        <v>100</v>
      </c>
      <c r="P1599" s="19"/>
      <c r="Q1599" s="35"/>
      <c r="R1599" s="19"/>
      <c r="S1599" s="557"/>
      <c r="T1599" s="2"/>
    </row>
    <row r="1600" spans="1:20" s="1" customFormat="1" x14ac:dyDescent="0.35">
      <c r="A1600" s="605"/>
      <c r="B1600" s="541"/>
      <c r="C1600" s="19" t="s">
        <v>118</v>
      </c>
      <c r="D1600" s="41" t="s">
        <v>119</v>
      </c>
      <c r="E1600" s="19" t="s">
        <v>18</v>
      </c>
      <c r="F1600" s="19">
        <v>100</v>
      </c>
      <c r="G1600" s="19">
        <v>100</v>
      </c>
      <c r="H1600" s="24">
        <f>IF(G1600/F1600*100&gt;100,100,G1600/F1600*100)</f>
        <v>100</v>
      </c>
      <c r="I1600" s="19"/>
      <c r="J1600" s="129"/>
      <c r="K1600" s="41"/>
      <c r="L1600" s="19"/>
      <c r="M1600" s="122"/>
      <c r="N1600" s="122"/>
      <c r="O1600" s="24"/>
      <c r="P1600" s="468"/>
      <c r="Q1600" s="35"/>
      <c r="R1600" s="19"/>
      <c r="S1600" s="557"/>
      <c r="T1600" s="2"/>
    </row>
    <row r="1601" spans="1:20" s="1" customFormat="1" ht="43.5" customHeight="1" x14ac:dyDescent="0.35">
      <c r="A1601" s="605"/>
      <c r="B1601" s="541"/>
      <c r="C1601" s="19" t="s">
        <v>120</v>
      </c>
      <c r="D1601" s="41" t="s">
        <v>108</v>
      </c>
      <c r="E1601" s="19" t="s">
        <v>18</v>
      </c>
      <c r="F1601" s="19">
        <v>100</v>
      </c>
      <c r="G1601" s="19">
        <v>100</v>
      </c>
      <c r="H1601" s="24">
        <f>IF(G1601/F1601*100&gt;100,100,G1601/F1601*100)</f>
        <v>100</v>
      </c>
      <c r="I1601" s="19"/>
      <c r="J1601" s="129"/>
      <c r="K1601" s="41"/>
      <c r="L1601" s="19"/>
      <c r="M1601" s="122"/>
      <c r="N1601" s="122"/>
      <c r="O1601" s="24"/>
      <c r="P1601" s="468"/>
      <c r="Q1601" s="35"/>
      <c r="R1601" s="19"/>
      <c r="S1601" s="557"/>
      <c r="T1601" s="2"/>
    </row>
    <row r="1602" spans="1:20" s="1" customFormat="1" ht="76.5" customHeight="1" x14ac:dyDescent="0.35">
      <c r="A1602" s="605"/>
      <c r="B1602" s="541"/>
      <c r="C1602" s="19" t="s">
        <v>121</v>
      </c>
      <c r="D1602" s="41" t="s">
        <v>157</v>
      </c>
      <c r="E1602" s="19" t="s">
        <v>18</v>
      </c>
      <c r="F1602" s="19">
        <v>90</v>
      </c>
      <c r="G1602" s="19">
        <v>100</v>
      </c>
      <c r="H1602" s="24">
        <f>IF(G1602/F1602*100&gt;100,100,G1602/F1602*100)</f>
        <v>100</v>
      </c>
      <c r="I1602" s="19"/>
      <c r="J1602" s="129"/>
      <c r="K1602" s="41"/>
      <c r="L1602" s="19"/>
      <c r="M1602" s="122"/>
      <c r="N1602" s="122"/>
      <c r="O1602" s="24"/>
      <c r="P1602" s="468"/>
      <c r="Q1602" s="35"/>
      <c r="R1602" s="19"/>
      <c r="S1602" s="557"/>
      <c r="T1602" s="2"/>
    </row>
    <row r="1603" spans="1:20" s="1" customFormat="1" ht="123" customHeight="1" x14ac:dyDescent="0.35">
      <c r="A1603" s="605"/>
      <c r="B1603" s="541"/>
      <c r="C1603" s="19" t="s">
        <v>122</v>
      </c>
      <c r="D1603" s="41" t="s">
        <v>111</v>
      </c>
      <c r="E1603" s="19" t="s">
        <v>18</v>
      </c>
      <c r="F1603" s="19">
        <v>100</v>
      </c>
      <c r="G1603" s="19">
        <v>100</v>
      </c>
      <c r="H1603" s="24">
        <f>IF(G1603/F1603*100&gt;100,100,G1603/F1603*100)</f>
        <v>100</v>
      </c>
      <c r="I1603" s="19"/>
      <c r="J1603" s="129"/>
      <c r="K1603" s="41"/>
      <c r="L1603" s="19"/>
      <c r="M1603" s="122"/>
      <c r="N1603" s="122"/>
      <c r="O1603" s="24"/>
      <c r="P1603" s="468"/>
      <c r="Q1603" s="35"/>
      <c r="R1603" s="19"/>
      <c r="S1603" s="557"/>
      <c r="T1603" s="2"/>
    </row>
    <row r="1604" spans="1:20" s="1" customFormat="1" ht="40.5" customHeight="1" x14ac:dyDescent="0.35">
      <c r="A1604" s="605"/>
      <c r="B1604" s="541"/>
      <c r="C1604" s="465"/>
      <c r="D1604" s="466" t="s">
        <v>644</v>
      </c>
      <c r="E1604" s="465"/>
      <c r="F1604" s="20"/>
      <c r="G1604" s="20"/>
      <c r="H1604" s="18"/>
      <c r="I1604" s="18">
        <f>(H1599+H1600+H1601+H1602+H1603)/5</f>
        <v>100</v>
      </c>
      <c r="J1604" s="128"/>
      <c r="K1604" s="466" t="s">
        <v>644</v>
      </c>
      <c r="L1604" s="20"/>
      <c r="M1604" s="124"/>
      <c r="N1604" s="124"/>
      <c r="O1604" s="18"/>
      <c r="P1604" s="18">
        <f>O1599</f>
        <v>100</v>
      </c>
      <c r="Q1604" s="18">
        <f>(I1604+P1604)/2</f>
        <v>100</v>
      </c>
      <c r="R1604" s="465" t="s">
        <v>25</v>
      </c>
      <c r="S1604" s="557"/>
      <c r="T1604" s="2"/>
    </row>
    <row r="1605" spans="1:20" s="1" customFormat="1" x14ac:dyDescent="0.35">
      <c r="A1605" s="605"/>
      <c r="B1605" s="541"/>
      <c r="C1605" s="454" t="s">
        <v>123</v>
      </c>
      <c r="D1605" s="59" t="s">
        <v>27</v>
      </c>
      <c r="E1605" s="19"/>
      <c r="F1605" s="19"/>
      <c r="G1605" s="19"/>
      <c r="H1605" s="35"/>
      <c r="I1605" s="35"/>
      <c r="J1605" s="454" t="s">
        <v>123</v>
      </c>
      <c r="K1605" s="59" t="s">
        <v>27</v>
      </c>
      <c r="L1605" s="19"/>
      <c r="M1605" s="122"/>
      <c r="N1605" s="122"/>
      <c r="O1605" s="35"/>
      <c r="P1605" s="468"/>
      <c r="Q1605" s="35"/>
      <c r="R1605" s="19"/>
      <c r="S1605" s="557"/>
      <c r="T1605" s="2"/>
    </row>
    <row r="1606" spans="1:20" s="1" customFormat="1" ht="42.75" customHeight="1" x14ac:dyDescent="0.35">
      <c r="A1606" s="605"/>
      <c r="B1606" s="541"/>
      <c r="C1606" s="19" t="s">
        <v>124</v>
      </c>
      <c r="D1606" s="41" t="s">
        <v>125</v>
      </c>
      <c r="E1606" s="19" t="s">
        <v>18</v>
      </c>
      <c r="F1606" s="19">
        <v>100</v>
      </c>
      <c r="G1606" s="19">
        <v>100</v>
      </c>
      <c r="H1606" s="24">
        <f>IF(G1606/F1606*100&gt;100,100,G1606/F1606*100)</f>
        <v>100</v>
      </c>
      <c r="I1606" s="19"/>
      <c r="J1606" s="129" t="s">
        <v>124</v>
      </c>
      <c r="K1606" s="41" t="s">
        <v>106</v>
      </c>
      <c r="L1606" s="19" t="s">
        <v>20</v>
      </c>
      <c r="M1606" s="19">
        <v>41</v>
      </c>
      <c r="N1606" s="19">
        <v>41</v>
      </c>
      <c r="O1606" s="24">
        <f>IF(N1606/M1606*100&gt;110,110,N1606/M1606*100)</f>
        <v>100</v>
      </c>
      <c r="P1606" s="468"/>
      <c r="Q1606" s="35"/>
      <c r="R1606" s="19"/>
      <c r="S1606" s="557"/>
      <c r="T1606" s="2"/>
    </row>
    <row r="1607" spans="1:20" s="1" customFormat="1" ht="81.75" customHeight="1" x14ac:dyDescent="0.35">
      <c r="A1607" s="605"/>
      <c r="B1607" s="541"/>
      <c r="C1607" s="19" t="s">
        <v>127</v>
      </c>
      <c r="D1607" s="41" t="s">
        <v>128</v>
      </c>
      <c r="E1607" s="19" t="s">
        <v>18</v>
      </c>
      <c r="F1607" s="19">
        <v>90</v>
      </c>
      <c r="G1607" s="19">
        <v>100</v>
      </c>
      <c r="H1607" s="24">
        <f>IF(G1607/F1607*100&gt;100,100,G1607/F1607*100)</f>
        <v>100</v>
      </c>
      <c r="I1607" s="19"/>
      <c r="J1607" s="129"/>
      <c r="K1607" s="41"/>
      <c r="L1607" s="19"/>
      <c r="M1607" s="122"/>
      <c r="N1607" s="122"/>
      <c r="O1607" s="24"/>
      <c r="P1607" s="468"/>
      <c r="Q1607" s="35"/>
      <c r="R1607" s="19"/>
      <c r="S1607" s="557"/>
      <c r="T1607" s="2"/>
    </row>
    <row r="1608" spans="1:20" s="1" customFormat="1" ht="40.5" customHeight="1" x14ac:dyDescent="0.35">
      <c r="A1608" s="605"/>
      <c r="B1608" s="541"/>
      <c r="C1608" s="465"/>
      <c r="D1608" s="466" t="s">
        <v>644</v>
      </c>
      <c r="E1608" s="465"/>
      <c r="F1608" s="20"/>
      <c r="G1608" s="20"/>
      <c r="H1608" s="18"/>
      <c r="I1608" s="18">
        <f>(H1606+H1607)/2</f>
        <v>100</v>
      </c>
      <c r="J1608" s="128"/>
      <c r="K1608" s="466" t="s">
        <v>644</v>
      </c>
      <c r="L1608" s="20"/>
      <c r="M1608" s="124"/>
      <c r="N1608" s="124"/>
      <c r="O1608" s="18"/>
      <c r="P1608" s="18">
        <f>O1606</f>
        <v>100</v>
      </c>
      <c r="Q1608" s="18">
        <f>(I1608+P1608)/2</f>
        <v>100</v>
      </c>
      <c r="R1608" s="465" t="s">
        <v>25</v>
      </c>
      <c r="S1608" s="557"/>
      <c r="T1608" s="2"/>
    </row>
    <row r="1609" spans="1:20" s="1" customFormat="1" ht="59.25" customHeight="1" x14ac:dyDescent="0.35">
      <c r="A1609" s="605"/>
      <c r="B1609" s="541"/>
      <c r="C1609" s="454" t="s">
        <v>129</v>
      </c>
      <c r="D1609" s="59" t="s">
        <v>130</v>
      </c>
      <c r="E1609" s="19"/>
      <c r="F1609" s="19"/>
      <c r="G1609" s="19"/>
      <c r="H1609" s="35"/>
      <c r="I1609" s="35"/>
      <c r="J1609" s="454" t="s">
        <v>129</v>
      </c>
      <c r="K1609" s="59" t="str">
        <f>D1609</f>
        <v>Реализация дополнительных общеразвивающих программ</v>
      </c>
      <c r="L1609" s="19"/>
      <c r="M1609" s="122"/>
      <c r="N1609" s="122"/>
      <c r="O1609" s="35"/>
      <c r="P1609" s="468"/>
      <c r="Q1609" s="35"/>
      <c r="R1609" s="19"/>
      <c r="S1609" s="557"/>
      <c r="T1609" s="2"/>
    </row>
    <row r="1610" spans="1:20" s="1" customFormat="1" ht="80.25" customHeight="1" x14ac:dyDescent="0.35">
      <c r="A1610" s="605"/>
      <c r="B1610" s="541"/>
      <c r="C1610" s="19" t="s">
        <v>131</v>
      </c>
      <c r="D1610" s="41" t="s">
        <v>128</v>
      </c>
      <c r="E1610" s="19" t="s">
        <v>18</v>
      </c>
      <c r="F1610" s="19">
        <v>90</v>
      </c>
      <c r="G1610" s="19">
        <v>100</v>
      </c>
      <c r="H1610" s="24">
        <f>IF(G1610/F1610*100&gt;100,100,G1610/F1610*100)</f>
        <v>100</v>
      </c>
      <c r="I1610" s="19"/>
      <c r="J1610" s="129" t="str">
        <f>C1610</f>
        <v>5.1.</v>
      </c>
      <c r="K1610" s="41" t="s">
        <v>136</v>
      </c>
      <c r="L1610" s="19" t="s">
        <v>139</v>
      </c>
      <c r="M1610" s="19">
        <v>40392</v>
      </c>
      <c r="N1610" s="19">
        <v>39501</v>
      </c>
      <c r="O1610" s="24">
        <f>IF(N1610/M1610*100&gt;110,110,N1610/M1610*100)</f>
        <v>97.794117647058826</v>
      </c>
      <c r="P1610" s="468"/>
      <c r="Q1610" s="35"/>
      <c r="R1610" s="19"/>
      <c r="S1610" s="557"/>
      <c r="T1610" s="2"/>
    </row>
    <row r="1611" spans="1:20" s="1" customFormat="1" ht="36.75" customHeight="1" x14ac:dyDescent="0.35">
      <c r="A1611" s="605"/>
      <c r="B1611" s="541"/>
      <c r="C1611" s="465"/>
      <c r="D1611" s="466" t="s">
        <v>644</v>
      </c>
      <c r="E1611" s="465"/>
      <c r="F1611" s="20"/>
      <c r="G1611" s="20"/>
      <c r="H1611" s="18"/>
      <c r="I1611" s="18">
        <f>H1610</f>
        <v>100</v>
      </c>
      <c r="J1611" s="128"/>
      <c r="K1611" s="466" t="s">
        <v>644</v>
      </c>
      <c r="L1611" s="20"/>
      <c r="M1611" s="124"/>
      <c r="N1611" s="124"/>
      <c r="O1611" s="18"/>
      <c r="P1611" s="18">
        <f>O1610</f>
        <v>97.794117647058826</v>
      </c>
      <c r="Q1611" s="18">
        <f>(I1611+P1611)/2</f>
        <v>98.89705882352942</v>
      </c>
      <c r="R1611" s="465" t="s">
        <v>112</v>
      </c>
      <c r="S1611" s="557"/>
      <c r="T1611" s="2"/>
    </row>
    <row r="1612" spans="1:20" s="1" customFormat="1" ht="84.75" customHeight="1" x14ac:dyDescent="0.35">
      <c r="A1612" s="605">
        <v>72</v>
      </c>
      <c r="B1612" s="541" t="s">
        <v>205</v>
      </c>
      <c r="C1612" s="454" t="s">
        <v>13</v>
      </c>
      <c r="D1612" s="59" t="s">
        <v>103</v>
      </c>
      <c r="E1612" s="454"/>
      <c r="F1612" s="454"/>
      <c r="G1612" s="454"/>
      <c r="H1612" s="35"/>
      <c r="I1612" s="35"/>
      <c r="J1612" s="454" t="s">
        <v>13</v>
      </c>
      <c r="K1612" s="59" t="s">
        <v>103</v>
      </c>
      <c r="L1612" s="19"/>
      <c r="M1612" s="19"/>
      <c r="N1612" s="19"/>
      <c r="O1612" s="35"/>
      <c r="P1612" s="468"/>
      <c r="Q1612" s="35"/>
      <c r="R1612" s="19"/>
      <c r="S1612" s="557" t="s">
        <v>104</v>
      </c>
      <c r="T1612" s="2"/>
    </row>
    <row r="1613" spans="1:20" s="1" customFormat="1" ht="77.25" customHeight="1" x14ac:dyDescent="0.35">
      <c r="A1613" s="605"/>
      <c r="B1613" s="541"/>
      <c r="C1613" s="19" t="s">
        <v>16</v>
      </c>
      <c r="D1613" s="41" t="s">
        <v>105</v>
      </c>
      <c r="E1613" s="19" t="s">
        <v>18</v>
      </c>
      <c r="F1613" s="19">
        <v>100</v>
      </c>
      <c r="G1613" s="19">
        <v>100</v>
      </c>
      <c r="H1613" s="24">
        <f>IF(G1613/F1613*100&gt;100,100,G1613/F1613*100)</f>
        <v>100</v>
      </c>
      <c r="I1613" s="19"/>
      <c r="J1613" s="19" t="s">
        <v>16</v>
      </c>
      <c r="K1613" s="41" t="s">
        <v>106</v>
      </c>
      <c r="L1613" s="19" t="s">
        <v>20</v>
      </c>
      <c r="M1613" s="19">
        <v>279</v>
      </c>
      <c r="N1613" s="19">
        <v>276</v>
      </c>
      <c r="O1613" s="24">
        <f>IF(N1613/M1613*100&gt;110,110,N1613/M1613*100)</f>
        <v>98.924731182795696</v>
      </c>
      <c r="P1613" s="468"/>
      <c r="Q1613" s="35"/>
      <c r="R1613" s="19"/>
      <c r="S1613" s="557"/>
      <c r="T1613" s="2"/>
    </row>
    <row r="1614" spans="1:20" s="1" customFormat="1" ht="45" customHeight="1" x14ac:dyDescent="0.35">
      <c r="A1614" s="605"/>
      <c r="B1614" s="541"/>
      <c r="C1614" s="19" t="s">
        <v>21</v>
      </c>
      <c r="D1614" s="41" t="s">
        <v>135</v>
      </c>
      <c r="E1614" s="19" t="s">
        <v>18</v>
      </c>
      <c r="F1614" s="19">
        <v>100</v>
      </c>
      <c r="G1614" s="19">
        <v>100</v>
      </c>
      <c r="H1614" s="24">
        <f>IF(G1614/F1614*100&gt;100,100,G1614/F1614*100)</f>
        <v>100</v>
      </c>
      <c r="I1614" s="19"/>
      <c r="J1614" s="19"/>
      <c r="K1614" s="455"/>
      <c r="L1614" s="19"/>
      <c r="M1614" s="476"/>
      <c r="N1614" s="476"/>
      <c r="O1614" s="24"/>
      <c r="P1614" s="468"/>
      <c r="Q1614" s="35"/>
      <c r="R1614" s="19"/>
      <c r="S1614" s="557"/>
      <c r="T1614" s="2"/>
    </row>
    <row r="1615" spans="1:20" s="1" customFormat="1" ht="42.75" customHeight="1" x14ac:dyDescent="0.35">
      <c r="A1615" s="605"/>
      <c r="B1615" s="541"/>
      <c r="C1615" s="19" t="s">
        <v>23</v>
      </c>
      <c r="D1615" s="41" t="s">
        <v>108</v>
      </c>
      <c r="E1615" s="19" t="s">
        <v>18</v>
      </c>
      <c r="F1615" s="19">
        <v>100</v>
      </c>
      <c r="G1615" s="19">
        <v>100</v>
      </c>
      <c r="H1615" s="24">
        <f>IF(G1615/F1615*100&gt;100,100,G1615/F1615*100)</f>
        <v>100</v>
      </c>
      <c r="I1615" s="19"/>
      <c r="J1615" s="129"/>
      <c r="K1615" s="41"/>
      <c r="L1615" s="19"/>
      <c r="M1615" s="122"/>
      <c r="N1615" s="122"/>
      <c r="O1615" s="24"/>
      <c r="P1615" s="468"/>
      <c r="Q1615" s="35"/>
      <c r="R1615" s="19"/>
      <c r="S1615" s="557"/>
      <c r="T1615" s="2"/>
    </row>
    <row r="1616" spans="1:20" s="1" customFormat="1" ht="68.25" customHeight="1" x14ac:dyDescent="0.35">
      <c r="A1616" s="605"/>
      <c r="B1616" s="541"/>
      <c r="C1616" s="19" t="s">
        <v>109</v>
      </c>
      <c r="D1616" s="41" t="s">
        <v>157</v>
      </c>
      <c r="E1616" s="19" t="s">
        <v>18</v>
      </c>
      <c r="F1616" s="19">
        <v>90</v>
      </c>
      <c r="G1616" s="19">
        <v>100</v>
      </c>
      <c r="H1616" s="24">
        <f>IF(G1616/F1616*100&gt;100,100,G1616/F1616*100)</f>
        <v>100</v>
      </c>
      <c r="I1616" s="19"/>
      <c r="J1616" s="129"/>
      <c r="K1616" s="41"/>
      <c r="L1616" s="19"/>
      <c r="M1616" s="122"/>
      <c r="N1616" s="122"/>
      <c r="O1616" s="24"/>
      <c r="P1616" s="468"/>
      <c r="Q1616" s="35"/>
      <c r="R1616" s="19"/>
      <c r="S1616" s="557"/>
      <c r="T1616" s="2"/>
    </row>
    <row r="1617" spans="1:20" s="1" customFormat="1" ht="122.25" customHeight="1" x14ac:dyDescent="0.35">
      <c r="A1617" s="605"/>
      <c r="B1617" s="541"/>
      <c r="C1617" s="19" t="s">
        <v>110</v>
      </c>
      <c r="D1617" s="41" t="s">
        <v>111</v>
      </c>
      <c r="E1617" s="19" t="s">
        <v>18</v>
      </c>
      <c r="F1617" s="19">
        <v>100</v>
      </c>
      <c r="G1617" s="19">
        <v>100</v>
      </c>
      <c r="H1617" s="24">
        <f>IF(G1617/F1617*100&gt;100,100,G1617/F1617*100)</f>
        <v>100</v>
      </c>
      <c r="I1617" s="19"/>
      <c r="J1617" s="129"/>
      <c r="K1617" s="41"/>
      <c r="L1617" s="19"/>
      <c r="M1617" s="122"/>
      <c r="N1617" s="122"/>
      <c r="O1617" s="24"/>
      <c r="P1617" s="468"/>
      <c r="Q1617" s="35"/>
      <c r="R1617" s="19"/>
      <c r="S1617" s="557"/>
      <c r="T1617" s="2"/>
    </row>
    <row r="1618" spans="1:20" s="1" customFormat="1" ht="40.5" customHeight="1" x14ac:dyDescent="0.35">
      <c r="A1618" s="605"/>
      <c r="B1618" s="541"/>
      <c r="C1618" s="465"/>
      <c r="D1618" s="466" t="s">
        <v>644</v>
      </c>
      <c r="E1618" s="465"/>
      <c r="F1618" s="20"/>
      <c r="G1618" s="20"/>
      <c r="H1618" s="18"/>
      <c r="I1618" s="18">
        <f>(H1613+H1614+H1615+H1616+H1617)/5</f>
        <v>100</v>
      </c>
      <c r="J1618" s="128"/>
      <c r="K1618" s="466" t="s">
        <v>644</v>
      </c>
      <c r="L1618" s="20"/>
      <c r="M1618" s="124"/>
      <c r="N1618" s="124"/>
      <c r="O1618" s="18"/>
      <c r="P1618" s="18">
        <f>O1613</f>
        <v>98.924731182795696</v>
      </c>
      <c r="Q1618" s="18">
        <f>(I1618+P1618)/2</f>
        <v>99.462365591397855</v>
      </c>
      <c r="R1618" s="465" t="s">
        <v>112</v>
      </c>
      <c r="S1618" s="557"/>
      <c r="T1618" s="2"/>
    </row>
    <row r="1619" spans="1:20" s="1" customFormat="1" ht="86.25" customHeight="1" x14ac:dyDescent="0.35">
      <c r="A1619" s="605"/>
      <c r="B1619" s="541"/>
      <c r="C1619" s="454" t="s">
        <v>26</v>
      </c>
      <c r="D1619" s="59" t="s">
        <v>113</v>
      </c>
      <c r="E1619" s="19"/>
      <c r="F1619" s="19"/>
      <c r="G1619" s="19"/>
      <c r="H1619" s="35"/>
      <c r="I1619" s="35"/>
      <c r="J1619" s="454" t="s">
        <v>26</v>
      </c>
      <c r="K1619" s="59" t="s">
        <v>113</v>
      </c>
      <c r="L1619" s="19"/>
      <c r="M1619" s="122"/>
      <c r="N1619" s="122"/>
      <c r="O1619" s="35"/>
      <c r="P1619" s="468"/>
      <c r="Q1619" s="35"/>
      <c r="R1619" s="19"/>
      <c r="S1619" s="557"/>
      <c r="T1619" s="2"/>
    </row>
    <row r="1620" spans="1:20" s="1" customFormat="1" ht="73.5" customHeight="1" x14ac:dyDescent="0.35">
      <c r="A1620" s="605"/>
      <c r="B1620" s="541"/>
      <c r="C1620" s="19" t="s">
        <v>28</v>
      </c>
      <c r="D1620" s="41" t="s">
        <v>114</v>
      </c>
      <c r="E1620" s="19" t="s">
        <v>18</v>
      </c>
      <c r="F1620" s="19">
        <v>100</v>
      </c>
      <c r="G1620" s="19">
        <v>100</v>
      </c>
      <c r="H1620" s="24">
        <f>IF(G1620/F1620*100&gt;100,100,G1620/F1620*100)</f>
        <v>100</v>
      </c>
      <c r="I1620" s="19"/>
      <c r="J1620" s="129" t="s">
        <v>28</v>
      </c>
      <c r="K1620" s="41" t="s">
        <v>106</v>
      </c>
      <c r="L1620" s="19" t="s">
        <v>20</v>
      </c>
      <c r="M1620" s="19">
        <v>340</v>
      </c>
      <c r="N1620" s="19">
        <v>342</v>
      </c>
      <c r="O1620" s="24">
        <f>IF(N1620/M1620*100&gt;110,110,N1620/M1620*100)</f>
        <v>100.58823529411765</v>
      </c>
      <c r="P1620" s="19"/>
      <c r="Q1620" s="35"/>
      <c r="R1620" s="19"/>
      <c r="S1620" s="557"/>
      <c r="T1620" s="2"/>
    </row>
    <row r="1621" spans="1:20" s="1" customFormat="1" ht="45" customHeight="1" x14ac:dyDescent="0.35">
      <c r="A1621" s="605"/>
      <c r="B1621" s="541"/>
      <c r="C1621" s="19" t="s">
        <v>30</v>
      </c>
      <c r="D1621" s="41" t="s">
        <v>115</v>
      </c>
      <c r="E1621" s="19" t="s">
        <v>18</v>
      </c>
      <c r="F1621" s="19">
        <v>100</v>
      </c>
      <c r="G1621" s="19">
        <v>100</v>
      </c>
      <c r="H1621" s="24">
        <f>IF(G1621/F1621*100&gt;100,100,G1621/F1621*100)</f>
        <v>100</v>
      </c>
      <c r="I1621" s="19"/>
      <c r="J1621" s="129"/>
      <c r="K1621" s="41"/>
      <c r="L1621" s="19"/>
      <c r="M1621" s="122"/>
      <c r="N1621" s="122"/>
      <c r="O1621" s="24"/>
      <c r="P1621" s="468"/>
      <c r="Q1621" s="35"/>
      <c r="R1621" s="19"/>
      <c r="S1621" s="557"/>
      <c r="T1621" s="2"/>
    </row>
    <row r="1622" spans="1:20" s="1" customFormat="1" ht="49.5" customHeight="1" x14ac:dyDescent="0.35">
      <c r="A1622" s="605"/>
      <c r="B1622" s="541"/>
      <c r="C1622" s="19" t="s">
        <v>34</v>
      </c>
      <c r="D1622" s="41" t="s">
        <v>108</v>
      </c>
      <c r="E1622" s="19" t="s">
        <v>18</v>
      </c>
      <c r="F1622" s="19">
        <v>100</v>
      </c>
      <c r="G1622" s="19">
        <v>100</v>
      </c>
      <c r="H1622" s="24">
        <f>IF(G1622/F1622*100&gt;100,100,G1622/F1622*100)</f>
        <v>100</v>
      </c>
      <c r="I1622" s="19"/>
      <c r="J1622" s="129"/>
      <c r="K1622" s="41"/>
      <c r="L1622" s="19"/>
      <c r="M1622" s="122"/>
      <c r="N1622" s="122"/>
      <c r="O1622" s="24"/>
      <c r="P1622" s="468"/>
      <c r="Q1622" s="35"/>
      <c r="R1622" s="19"/>
      <c r="S1622" s="557"/>
      <c r="T1622" s="2"/>
    </row>
    <row r="1623" spans="1:20" s="1" customFormat="1" ht="61.5" customHeight="1" x14ac:dyDescent="0.35">
      <c r="A1623" s="605"/>
      <c r="B1623" s="541"/>
      <c r="C1623" s="19" t="s">
        <v>78</v>
      </c>
      <c r="D1623" s="41" t="s">
        <v>157</v>
      </c>
      <c r="E1623" s="19" t="s">
        <v>18</v>
      </c>
      <c r="F1623" s="19">
        <v>90</v>
      </c>
      <c r="G1623" s="19">
        <v>100</v>
      </c>
      <c r="H1623" s="24">
        <f>IF(G1623/F1623*100&gt;100,100,G1623/F1623*100)</f>
        <v>100</v>
      </c>
      <c r="I1623" s="19"/>
      <c r="J1623" s="129"/>
      <c r="K1623" s="41"/>
      <c r="L1623" s="19"/>
      <c r="M1623" s="122"/>
      <c r="N1623" s="122"/>
      <c r="O1623" s="24"/>
      <c r="P1623" s="468"/>
      <c r="Q1623" s="35"/>
      <c r="R1623" s="19"/>
      <c r="S1623" s="557"/>
      <c r="T1623" s="2"/>
    </row>
    <row r="1624" spans="1:20" s="1" customFormat="1" ht="123.75" customHeight="1" x14ac:dyDescent="0.35">
      <c r="A1624" s="605"/>
      <c r="B1624" s="541"/>
      <c r="C1624" s="19" t="s">
        <v>79</v>
      </c>
      <c r="D1624" s="41" t="s">
        <v>111</v>
      </c>
      <c r="E1624" s="19" t="s">
        <v>18</v>
      </c>
      <c r="F1624" s="19">
        <v>100</v>
      </c>
      <c r="G1624" s="19">
        <v>100</v>
      </c>
      <c r="H1624" s="24">
        <f>IF(G1624/F1624*100&gt;100,100,G1624/F1624*100)</f>
        <v>100</v>
      </c>
      <c r="I1624" s="19"/>
      <c r="J1624" s="129"/>
      <c r="K1624" s="41"/>
      <c r="L1624" s="19"/>
      <c r="M1624" s="122"/>
      <c r="N1624" s="122"/>
      <c r="O1624" s="24"/>
      <c r="P1624" s="468"/>
      <c r="Q1624" s="35"/>
      <c r="R1624" s="19"/>
      <c r="S1624" s="557"/>
      <c r="T1624" s="2"/>
    </row>
    <row r="1625" spans="1:20" s="1" customFormat="1" ht="40.5" customHeight="1" x14ac:dyDescent="0.35">
      <c r="A1625" s="605"/>
      <c r="B1625" s="541"/>
      <c r="C1625" s="465"/>
      <c r="D1625" s="466" t="s">
        <v>644</v>
      </c>
      <c r="E1625" s="465"/>
      <c r="F1625" s="20"/>
      <c r="G1625" s="20"/>
      <c r="H1625" s="18"/>
      <c r="I1625" s="18">
        <f>(H1620+H1621+H1622+H1623+H1624)/5</f>
        <v>100</v>
      </c>
      <c r="J1625" s="128"/>
      <c r="K1625" s="466" t="s">
        <v>644</v>
      </c>
      <c r="L1625" s="20"/>
      <c r="M1625" s="124"/>
      <c r="N1625" s="124"/>
      <c r="O1625" s="18"/>
      <c r="P1625" s="18">
        <f>O1620</f>
        <v>100.58823529411765</v>
      </c>
      <c r="Q1625" s="18">
        <f>(I1625+P1625)/2</f>
        <v>100.29411764705883</v>
      </c>
      <c r="R1625" s="465" t="s">
        <v>25</v>
      </c>
      <c r="S1625" s="557"/>
      <c r="T1625" s="2"/>
    </row>
    <row r="1626" spans="1:20" s="1" customFormat="1" ht="81" customHeight="1" x14ac:dyDescent="0.35">
      <c r="A1626" s="605"/>
      <c r="B1626" s="541"/>
      <c r="C1626" s="454" t="s">
        <v>36</v>
      </c>
      <c r="D1626" s="59" t="s">
        <v>116</v>
      </c>
      <c r="E1626" s="19"/>
      <c r="F1626" s="19"/>
      <c r="G1626" s="19"/>
      <c r="H1626" s="35"/>
      <c r="I1626" s="35"/>
      <c r="J1626" s="454" t="s">
        <v>36</v>
      </c>
      <c r="K1626" s="59" t="str">
        <f>D1626</f>
        <v>Реализация основных общеобразовательных программ среднего общего образования</v>
      </c>
      <c r="L1626" s="19"/>
      <c r="M1626" s="122"/>
      <c r="N1626" s="122"/>
      <c r="O1626" s="35"/>
      <c r="P1626" s="468"/>
      <c r="Q1626" s="35"/>
      <c r="R1626" s="19"/>
      <c r="S1626" s="557"/>
      <c r="T1626" s="2"/>
    </row>
    <row r="1627" spans="1:20" s="1" customFormat="1" ht="67.5" customHeight="1" x14ac:dyDescent="0.35">
      <c r="A1627" s="605"/>
      <c r="B1627" s="541"/>
      <c r="C1627" s="19" t="s">
        <v>38</v>
      </c>
      <c r="D1627" s="41" t="s">
        <v>117</v>
      </c>
      <c r="E1627" s="19" t="s">
        <v>18</v>
      </c>
      <c r="F1627" s="19">
        <v>100</v>
      </c>
      <c r="G1627" s="19">
        <v>100</v>
      </c>
      <c r="H1627" s="24">
        <f>IF(G1627/F1627*100&gt;100,100,G1627/F1627*100)</f>
        <v>100</v>
      </c>
      <c r="I1627" s="19"/>
      <c r="J1627" s="129" t="s">
        <v>38</v>
      </c>
      <c r="K1627" s="41" t="s">
        <v>106</v>
      </c>
      <c r="L1627" s="19" t="s">
        <v>20</v>
      </c>
      <c r="M1627" s="19">
        <v>48</v>
      </c>
      <c r="N1627" s="19">
        <v>46</v>
      </c>
      <c r="O1627" s="24">
        <f>IF(N1627/M1627*100&gt;110,110,N1627/M1627*100)</f>
        <v>95.833333333333343</v>
      </c>
      <c r="P1627" s="19"/>
      <c r="Q1627" s="35"/>
      <c r="R1627" s="19"/>
      <c r="S1627" s="557"/>
      <c r="T1627" s="2"/>
    </row>
    <row r="1628" spans="1:20" s="1" customFormat="1" ht="45" customHeight="1" x14ac:dyDescent="0.35">
      <c r="A1628" s="605"/>
      <c r="B1628" s="541"/>
      <c r="C1628" s="19" t="s">
        <v>118</v>
      </c>
      <c r="D1628" s="41" t="s">
        <v>119</v>
      </c>
      <c r="E1628" s="19" t="s">
        <v>18</v>
      </c>
      <c r="F1628" s="19">
        <v>100</v>
      </c>
      <c r="G1628" s="19">
        <v>100</v>
      </c>
      <c r="H1628" s="24">
        <f>IF(G1628/F1628*100&gt;100,100,G1628/F1628*100)</f>
        <v>100</v>
      </c>
      <c r="I1628" s="19"/>
      <c r="J1628" s="129"/>
      <c r="K1628" s="41"/>
      <c r="L1628" s="19"/>
      <c r="M1628" s="122"/>
      <c r="N1628" s="122"/>
      <c r="O1628" s="24"/>
      <c r="P1628" s="468"/>
      <c r="Q1628" s="35"/>
      <c r="R1628" s="19"/>
      <c r="S1628" s="557"/>
      <c r="T1628" s="2"/>
    </row>
    <row r="1629" spans="1:20" s="1" customFormat="1" ht="55.5" customHeight="1" x14ac:dyDescent="0.35">
      <c r="A1629" s="605"/>
      <c r="B1629" s="541"/>
      <c r="C1629" s="19" t="s">
        <v>120</v>
      </c>
      <c r="D1629" s="41" t="s">
        <v>108</v>
      </c>
      <c r="E1629" s="19" t="s">
        <v>18</v>
      </c>
      <c r="F1629" s="19">
        <v>100</v>
      </c>
      <c r="G1629" s="19">
        <v>100</v>
      </c>
      <c r="H1629" s="24">
        <f>IF(G1629/F1629*100&gt;100,100,G1629/F1629*100)</f>
        <v>100</v>
      </c>
      <c r="I1629" s="19"/>
      <c r="J1629" s="129"/>
      <c r="K1629" s="41"/>
      <c r="L1629" s="19"/>
      <c r="M1629" s="122"/>
      <c r="N1629" s="122"/>
      <c r="O1629" s="24"/>
      <c r="P1629" s="468"/>
      <c r="Q1629" s="35"/>
      <c r="R1629" s="19"/>
      <c r="S1629" s="557"/>
      <c r="T1629" s="2"/>
    </row>
    <row r="1630" spans="1:20" s="1" customFormat="1" ht="69" customHeight="1" x14ac:dyDescent="0.35">
      <c r="A1630" s="605"/>
      <c r="B1630" s="541"/>
      <c r="C1630" s="19" t="s">
        <v>121</v>
      </c>
      <c r="D1630" s="41" t="s">
        <v>157</v>
      </c>
      <c r="E1630" s="19" t="s">
        <v>18</v>
      </c>
      <c r="F1630" s="19">
        <v>90</v>
      </c>
      <c r="G1630" s="19">
        <v>100</v>
      </c>
      <c r="H1630" s="24">
        <f>IF(G1630/F1630*100&gt;100,100,G1630/F1630*100)</f>
        <v>100</v>
      </c>
      <c r="I1630" s="19"/>
      <c r="J1630" s="129"/>
      <c r="K1630" s="41"/>
      <c r="L1630" s="19"/>
      <c r="M1630" s="122"/>
      <c r="N1630" s="122"/>
      <c r="O1630" s="24"/>
      <c r="P1630" s="468"/>
      <c r="Q1630" s="35"/>
      <c r="R1630" s="19"/>
      <c r="S1630" s="557"/>
      <c r="T1630" s="2"/>
    </row>
    <row r="1631" spans="1:20" s="1" customFormat="1" ht="121.5" customHeight="1" x14ac:dyDescent="0.35">
      <c r="A1631" s="605"/>
      <c r="B1631" s="541"/>
      <c r="C1631" s="19" t="s">
        <v>122</v>
      </c>
      <c r="D1631" s="41" t="s">
        <v>111</v>
      </c>
      <c r="E1631" s="19" t="s">
        <v>18</v>
      </c>
      <c r="F1631" s="19">
        <v>100</v>
      </c>
      <c r="G1631" s="19">
        <v>100</v>
      </c>
      <c r="H1631" s="24">
        <f>IF(G1631/F1631*100&gt;100,100,G1631/F1631*100)</f>
        <v>100</v>
      </c>
      <c r="I1631" s="19"/>
      <c r="J1631" s="129"/>
      <c r="K1631" s="41"/>
      <c r="L1631" s="19"/>
      <c r="M1631" s="122"/>
      <c r="N1631" s="122"/>
      <c r="O1631" s="24"/>
      <c r="P1631" s="468"/>
      <c r="Q1631" s="35"/>
      <c r="R1631" s="19"/>
      <c r="S1631" s="557"/>
      <c r="T1631" s="2"/>
    </row>
    <row r="1632" spans="1:20" s="1" customFormat="1" ht="40.5" customHeight="1" x14ac:dyDescent="0.35">
      <c r="A1632" s="605"/>
      <c r="B1632" s="541"/>
      <c r="C1632" s="465"/>
      <c r="D1632" s="466" t="s">
        <v>644</v>
      </c>
      <c r="E1632" s="465"/>
      <c r="F1632" s="20"/>
      <c r="G1632" s="20"/>
      <c r="H1632" s="18"/>
      <c r="I1632" s="18">
        <f>(H1627+H1628+H1629+H1630+H1631)/5</f>
        <v>100</v>
      </c>
      <c r="J1632" s="128"/>
      <c r="K1632" s="466" t="s">
        <v>644</v>
      </c>
      <c r="L1632" s="20"/>
      <c r="M1632" s="124"/>
      <c r="N1632" s="124"/>
      <c r="O1632" s="18"/>
      <c r="P1632" s="18">
        <f>O1627</f>
        <v>95.833333333333343</v>
      </c>
      <c r="Q1632" s="18">
        <f>(I1632+P1632)/2</f>
        <v>97.916666666666671</v>
      </c>
      <c r="R1632" s="465" t="s">
        <v>112</v>
      </c>
      <c r="S1632" s="557"/>
      <c r="T1632" s="2"/>
    </row>
    <row r="1633" spans="1:20" s="1" customFormat="1" ht="45" customHeight="1" x14ac:dyDescent="0.35">
      <c r="A1633" s="605"/>
      <c r="B1633" s="541"/>
      <c r="C1633" s="454" t="s">
        <v>123</v>
      </c>
      <c r="D1633" s="59" t="s">
        <v>27</v>
      </c>
      <c r="E1633" s="19"/>
      <c r="F1633" s="19"/>
      <c r="G1633" s="19"/>
      <c r="H1633" s="35"/>
      <c r="I1633" s="35"/>
      <c r="J1633" s="454" t="s">
        <v>123</v>
      </c>
      <c r="K1633" s="59" t="s">
        <v>27</v>
      </c>
      <c r="L1633" s="19"/>
      <c r="M1633" s="122"/>
      <c r="N1633" s="122"/>
      <c r="O1633" s="35"/>
      <c r="P1633" s="468"/>
      <c r="Q1633" s="35"/>
      <c r="R1633" s="19"/>
      <c r="S1633" s="557"/>
      <c r="T1633" s="2"/>
    </row>
    <row r="1634" spans="1:20" s="1" customFormat="1" ht="52.5" customHeight="1" x14ac:dyDescent="0.35">
      <c r="A1634" s="605"/>
      <c r="B1634" s="541"/>
      <c r="C1634" s="19" t="s">
        <v>124</v>
      </c>
      <c r="D1634" s="41" t="s">
        <v>125</v>
      </c>
      <c r="E1634" s="19" t="s">
        <v>18</v>
      </c>
      <c r="F1634" s="19">
        <v>100</v>
      </c>
      <c r="G1634" s="19">
        <v>100</v>
      </c>
      <c r="H1634" s="24">
        <f>IF(G1634/F1634*100&gt;100,100,G1634/F1634*100)</f>
        <v>100</v>
      </c>
      <c r="I1634" s="19"/>
      <c r="J1634" s="129" t="s">
        <v>124</v>
      </c>
      <c r="K1634" s="41" t="s">
        <v>106</v>
      </c>
      <c r="L1634" s="19" t="s">
        <v>20</v>
      </c>
      <c r="M1634" s="19">
        <v>105</v>
      </c>
      <c r="N1634" s="19">
        <v>105</v>
      </c>
      <c r="O1634" s="24">
        <f>IF(N1634/M1634*100&gt;110,110,N1634/M1634*100)</f>
        <v>100</v>
      </c>
      <c r="P1634" s="468"/>
      <c r="Q1634" s="35"/>
      <c r="R1634" s="19"/>
      <c r="S1634" s="557"/>
      <c r="T1634" s="2"/>
    </row>
    <row r="1635" spans="1:20" s="1" customFormat="1" ht="81.75" customHeight="1" x14ac:dyDescent="0.35">
      <c r="A1635" s="605"/>
      <c r="B1635" s="541"/>
      <c r="C1635" s="19" t="s">
        <v>127</v>
      </c>
      <c r="D1635" s="41" t="s">
        <v>128</v>
      </c>
      <c r="E1635" s="19" t="s">
        <v>18</v>
      </c>
      <c r="F1635" s="19">
        <v>90</v>
      </c>
      <c r="G1635" s="19">
        <v>90</v>
      </c>
      <c r="H1635" s="24">
        <f>IF(G1635/F1635*100&gt;100,100,G1635/F1635*100)</f>
        <v>100</v>
      </c>
      <c r="I1635" s="19"/>
      <c r="J1635" s="129"/>
      <c r="K1635" s="41"/>
      <c r="L1635" s="19"/>
      <c r="M1635" s="122"/>
      <c r="N1635" s="122"/>
      <c r="O1635" s="24"/>
      <c r="P1635" s="468"/>
      <c r="Q1635" s="35"/>
      <c r="R1635" s="19"/>
      <c r="S1635" s="557"/>
      <c r="T1635" s="2"/>
    </row>
    <row r="1636" spans="1:20" s="1" customFormat="1" ht="40.5" customHeight="1" x14ac:dyDescent="0.35">
      <c r="A1636" s="605"/>
      <c r="B1636" s="541"/>
      <c r="C1636" s="465"/>
      <c r="D1636" s="466" t="s">
        <v>644</v>
      </c>
      <c r="E1636" s="465"/>
      <c r="F1636" s="20"/>
      <c r="G1636" s="20"/>
      <c r="H1636" s="18"/>
      <c r="I1636" s="18">
        <f>(H1634+H1635)/2</f>
        <v>100</v>
      </c>
      <c r="J1636" s="128"/>
      <c r="K1636" s="466" t="s">
        <v>644</v>
      </c>
      <c r="L1636" s="20"/>
      <c r="M1636" s="124"/>
      <c r="N1636" s="124"/>
      <c r="O1636" s="18"/>
      <c r="P1636" s="18">
        <f>O1634</f>
        <v>100</v>
      </c>
      <c r="Q1636" s="18">
        <f>(I1636+P1636)/2</f>
        <v>100</v>
      </c>
      <c r="R1636" s="465" t="s">
        <v>25</v>
      </c>
      <c r="S1636" s="557"/>
      <c r="T1636" s="2"/>
    </row>
    <row r="1637" spans="1:20" s="1" customFormat="1" ht="244.5" customHeight="1" x14ac:dyDescent="0.35">
      <c r="A1637" s="605"/>
      <c r="B1637" s="541"/>
      <c r="C1637" s="454" t="s">
        <v>129</v>
      </c>
      <c r="D1637" s="59" t="s">
        <v>274</v>
      </c>
      <c r="E1637" s="454"/>
      <c r="F1637" s="454"/>
      <c r="G1637" s="454"/>
      <c r="H1637" s="35"/>
      <c r="I1637" s="35"/>
      <c r="J1637" s="454" t="s">
        <v>129</v>
      </c>
      <c r="K1637" s="59" t="s">
        <v>274</v>
      </c>
      <c r="L1637" s="19"/>
      <c r="M1637" s="19"/>
      <c r="N1637" s="19"/>
      <c r="O1637" s="35"/>
      <c r="P1637" s="468"/>
      <c r="Q1637" s="35"/>
      <c r="R1637" s="19"/>
      <c r="S1637" s="557"/>
      <c r="T1637" s="2"/>
    </row>
    <row r="1638" spans="1:20" s="1" customFormat="1" ht="77.25" customHeight="1" x14ac:dyDescent="0.35">
      <c r="A1638" s="605"/>
      <c r="B1638" s="541"/>
      <c r="C1638" s="19" t="s">
        <v>131</v>
      </c>
      <c r="D1638" s="41" t="s">
        <v>17</v>
      </c>
      <c r="E1638" s="19" t="s">
        <v>18</v>
      </c>
      <c r="F1638" s="19">
        <v>90</v>
      </c>
      <c r="G1638" s="19">
        <v>90</v>
      </c>
      <c r="H1638" s="24">
        <f>IF(G1638/F1638*100&gt;100,100,G1638/F1638*100)</f>
        <v>100</v>
      </c>
      <c r="I1638" s="19"/>
      <c r="J1638" s="19" t="s">
        <v>131</v>
      </c>
      <c r="K1638" s="41" t="s">
        <v>273</v>
      </c>
      <c r="L1638" s="19" t="s">
        <v>41</v>
      </c>
      <c r="M1638" s="19">
        <v>105</v>
      </c>
      <c r="N1638" s="19">
        <v>105</v>
      </c>
      <c r="O1638" s="24">
        <f>IF(N1638/M1638*100&gt;110,110,N1638/M1638*100)</f>
        <v>100</v>
      </c>
      <c r="P1638" s="468"/>
      <c r="Q1638" s="35"/>
      <c r="R1638" s="19"/>
      <c r="S1638" s="557"/>
      <c r="T1638" s="2"/>
    </row>
    <row r="1639" spans="1:20" s="1" customFormat="1" ht="47.25" customHeight="1" x14ac:dyDescent="0.35">
      <c r="A1639" s="605"/>
      <c r="B1639" s="541"/>
      <c r="C1639" s="465"/>
      <c r="D1639" s="466" t="s">
        <v>644</v>
      </c>
      <c r="E1639" s="465"/>
      <c r="F1639" s="20"/>
      <c r="G1639" s="20"/>
      <c r="H1639" s="18"/>
      <c r="I1639" s="18">
        <f>H1638</f>
        <v>100</v>
      </c>
      <c r="J1639" s="128"/>
      <c r="K1639" s="466" t="s">
        <v>644</v>
      </c>
      <c r="L1639" s="20"/>
      <c r="M1639" s="124"/>
      <c r="N1639" s="124"/>
      <c r="O1639" s="18"/>
      <c r="P1639" s="18">
        <f>O1638</f>
        <v>100</v>
      </c>
      <c r="Q1639" s="18">
        <f>(I1639+P1639)/2</f>
        <v>100</v>
      </c>
      <c r="R1639" s="465" t="s">
        <v>25</v>
      </c>
      <c r="S1639" s="557"/>
      <c r="T1639" s="2"/>
    </row>
    <row r="1640" spans="1:20" s="1" customFormat="1" ht="63.75" customHeight="1" x14ac:dyDescent="0.35">
      <c r="A1640" s="605"/>
      <c r="B1640" s="541"/>
      <c r="C1640" s="454" t="s">
        <v>140</v>
      </c>
      <c r="D1640" s="59" t="s">
        <v>130</v>
      </c>
      <c r="E1640" s="19"/>
      <c r="F1640" s="19"/>
      <c r="G1640" s="19"/>
      <c r="H1640" s="35"/>
      <c r="I1640" s="35"/>
      <c r="J1640" s="454" t="s">
        <v>140</v>
      </c>
      <c r="K1640" s="59" t="str">
        <f>D1640</f>
        <v>Реализация дополнительных общеразвивающих программ</v>
      </c>
      <c r="L1640" s="19"/>
      <c r="M1640" s="122"/>
      <c r="N1640" s="122"/>
      <c r="O1640" s="35"/>
      <c r="P1640" s="468"/>
      <c r="Q1640" s="35"/>
      <c r="R1640" s="19"/>
      <c r="S1640" s="557"/>
      <c r="T1640" s="2"/>
    </row>
    <row r="1641" spans="1:20" s="1" customFormat="1" ht="75" customHeight="1" x14ac:dyDescent="0.35">
      <c r="A1641" s="605"/>
      <c r="B1641" s="541"/>
      <c r="C1641" s="19" t="s">
        <v>142</v>
      </c>
      <c r="D1641" s="41" t="s">
        <v>128</v>
      </c>
      <c r="E1641" s="19" t="s">
        <v>18</v>
      </c>
      <c r="F1641" s="19">
        <v>90</v>
      </c>
      <c r="G1641" s="19">
        <v>90</v>
      </c>
      <c r="H1641" s="24">
        <f>IF(G1641/F1641*100&gt;100,100,G1641/F1641*100)</f>
        <v>100</v>
      </c>
      <c r="I1641" s="19"/>
      <c r="J1641" s="129" t="s">
        <v>142</v>
      </c>
      <c r="K1641" s="41" t="s">
        <v>136</v>
      </c>
      <c r="L1641" s="19" t="s">
        <v>139</v>
      </c>
      <c r="M1641" s="19">
        <v>58752</v>
      </c>
      <c r="N1641" s="19">
        <v>55520</v>
      </c>
      <c r="O1641" s="24">
        <f>IF(N1641/M1641*100&gt;110,110,N1641/M1641*100)</f>
        <v>94.498910675381268</v>
      </c>
      <c r="P1641" s="468"/>
      <c r="Q1641" s="35"/>
      <c r="R1641" s="19"/>
      <c r="S1641" s="557"/>
      <c r="T1641" s="2"/>
    </row>
    <row r="1642" spans="1:20" s="1" customFormat="1" ht="44.25" customHeight="1" x14ac:dyDescent="0.35">
      <c r="A1642" s="605"/>
      <c r="B1642" s="541"/>
      <c r="C1642" s="465"/>
      <c r="D1642" s="466" t="s">
        <v>644</v>
      </c>
      <c r="E1642" s="465"/>
      <c r="F1642" s="20"/>
      <c r="G1642" s="20"/>
      <c r="H1642" s="18"/>
      <c r="I1642" s="18">
        <f>H1641</f>
        <v>100</v>
      </c>
      <c r="J1642" s="128"/>
      <c r="K1642" s="466" t="s">
        <v>644</v>
      </c>
      <c r="L1642" s="20"/>
      <c r="M1642" s="124"/>
      <c r="N1642" s="124"/>
      <c r="O1642" s="18"/>
      <c r="P1642" s="18">
        <f>O1641</f>
        <v>94.498910675381268</v>
      </c>
      <c r="Q1642" s="18">
        <f>(I1642+P1642)/2</f>
        <v>97.249455337690634</v>
      </c>
      <c r="R1642" s="465" t="s">
        <v>112</v>
      </c>
      <c r="S1642" s="557"/>
      <c r="T1642" s="2"/>
    </row>
    <row r="1643" spans="1:20" s="1" customFormat="1" ht="96" customHeight="1" x14ac:dyDescent="0.35">
      <c r="A1643" s="605">
        <v>73</v>
      </c>
      <c r="B1643" s="541" t="s">
        <v>206</v>
      </c>
      <c r="C1643" s="454" t="s">
        <v>13</v>
      </c>
      <c r="D1643" s="59" t="s">
        <v>103</v>
      </c>
      <c r="E1643" s="454"/>
      <c r="F1643" s="454"/>
      <c r="G1643" s="454"/>
      <c r="H1643" s="35"/>
      <c r="I1643" s="35"/>
      <c r="J1643" s="454" t="s">
        <v>13</v>
      </c>
      <c r="K1643" s="59" t="s">
        <v>103</v>
      </c>
      <c r="L1643" s="19"/>
      <c r="M1643" s="19"/>
      <c r="N1643" s="19"/>
      <c r="O1643" s="35"/>
      <c r="P1643" s="468"/>
      <c r="Q1643" s="35"/>
      <c r="R1643" s="19"/>
      <c r="S1643" s="557" t="s">
        <v>104</v>
      </c>
      <c r="T1643" s="2"/>
    </row>
    <row r="1644" spans="1:20" s="1" customFormat="1" ht="75.75" customHeight="1" x14ac:dyDescent="0.35">
      <c r="A1644" s="605"/>
      <c r="B1644" s="541"/>
      <c r="C1644" s="19" t="s">
        <v>16</v>
      </c>
      <c r="D1644" s="41" t="s">
        <v>105</v>
      </c>
      <c r="E1644" s="19" t="s">
        <v>18</v>
      </c>
      <c r="F1644" s="19">
        <v>100</v>
      </c>
      <c r="G1644" s="19">
        <v>100</v>
      </c>
      <c r="H1644" s="24">
        <f>IF(G1644/F1644*100&gt;100,100,G1644/F1644*100)</f>
        <v>100</v>
      </c>
      <c r="I1644" s="19"/>
      <c r="J1644" s="19" t="s">
        <v>16</v>
      </c>
      <c r="K1644" s="41" t="s">
        <v>106</v>
      </c>
      <c r="L1644" s="19" t="s">
        <v>20</v>
      </c>
      <c r="M1644" s="19">
        <v>253</v>
      </c>
      <c r="N1644" s="19">
        <v>248</v>
      </c>
      <c r="O1644" s="24">
        <f>IF(N1644/M1644*100&gt;110,110,N1644/M1644*100)</f>
        <v>98.023715415019765</v>
      </c>
      <c r="P1644" s="468"/>
      <c r="Q1644" s="35"/>
      <c r="R1644" s="19"/>
      <c r="S1644" s="557"/>
      <c r="T1644" s="2"/>
    </row>
    <row r="1645" spans="1:20" s="1" customFormat="1" x14ac:dyDescent="0.35">
      <c r="A1645" s="605"/>
      <c r="B1645" s="541"/>
      <c r="C1645" s="19" t="s">
        <v>21</v>
      </c>
      <c r="D1645" s="41" t="s">
        <v>135</v>
      </c>
      <c r="E1645" s="19" t="s">
        <v>18</v>
      </c>
      <c r="F1645" s="19">
        <v>100</v>
      </c>
      <c r="G1645" s="19">
        <v>100</v>
      </c>
      <c r="H1645" s="24">
        <f>IF(G1645/F1645*100&gt;100,100,G1645/F1645*100)</f>
        <v>100</v>
      </c>
      <c r="I1645" s="19"/>
      <c r="J1645" s="19"/>
      <c r="K1645" s="455"/>
      <c r="L1645" s="19"/>
      <c r="M1645" s="476"/>
      <c r="N1645" s="476"/>
      <c r="O1645" s="24"/>
      <c r="P1645" s="468"/>
      <c r="Q1645" s="35"/>
      <c r="R1645" s="19"/>
      <c r="S1645" s="557"/>
      <c r="T1645" s="2"/>
    </row>
    <row r="1646" spans="1:20" s="1" customFormat="1" ht="41.25" customHeight="1" x14ac:dyDescent="0.35">
      <c r="A1646" s="605"/>
      <c r="B1646" s="541"/>
      <c r="C1646" s="19" t="s">
        <v>23</v>
      </c>
      <c r="D1646" s="41" t="s">
        <v>108</v>
      </c>
      <c r="E1646" s="19" t="s">
        <v>18</v>
      </c>
      <c r="F1646" s="19">
        <v>100</v>
      </c>
      <c r="G1646" s="19">
        <v>100</v>
      </c>
      <c r="H1646" s="24">
        <f>IF(G1646/F1646*100&gt;100,100,G1646/F1646*100)</f>
        <v>100</v>
      </c>
      <c r="I1646" s="19"/>
      <c r="J1646" s="129"/>
      <c r="K1646" s="41"/>
      <c r="L1646" s="19"/>
      <c r="M1646" s="122"/>
      <c r="N1646" s="122"/>
      <c r="O1646" s="24"/>
      <c r="P1646" s="468"/>
      <c r="Q1646" s="35"/>
      <c r="R1646" s="19"/>
      <c r="S1646" s="557"/>
      <c r="T1646" s="2"/>
    </row>
    <row r="1647" spans="1:20" s="1" customFormat="1" ht="75" customHeight="1" x14ac:dyDescent="0.35">
      <c r="A1647" s="605"/>
      <c r="B1647" s="541"/>
      <c r="C1647" s="19" t="s">
        <v>109</v>
      </c>
      <c r="D1647" s="41" t="s">
        <v>17</v>
      </c>
      <c r="E1647" s="19" t="s">
        <v>18</v>
      </c>
      <c r="F1647" s="19">
        <v>90</v>
      </c>
      <c r="G1647" s="19">
        <v>100</v>
      </c>
      <c r="H1647" s="24">
        <f>IF(G1647/F1647*100&gt;100,100,G1647/F1647*100)</f>
        <v>100</v>
      </c>
      <c r="I1647" s="19"/>
      <c r="J1647" s="129"/>
      <c r="K1647" s="41"/>
      <c r="L1647" s="19"/>
      <c r="M1647" s="122"/>
      <c r="N1647" s="122"/>
      <c r="O1647" s="24"/>
      <c r="P1647" s="468"/>
      <c r="Q1647" s="35"/>
      <c r="R1647" s="19"/>
      <c r="S1647" s="557"/>
      <c r="T1647" s="2"/>
    </row>
    <row r="1648" spans="1:20" s="1" customFormat="1" ht="122.25" customHeight="1" x14ac:dyDescent="0.35">
      <c r="A1648" s="605"/>
      <c r="B1648" s="541"/>
      <c r="C1648" s="19" t="s">
        <v>110</v>
      </c>
      <c r="D1648" s="41" t="s">
        <v>111</v>
      </c>
      <c r="E1648" s="19" t="s">
        <v>18</v>
      </c>
      <c r="F1648" s="19">
        <v>100</v>
      </c>
      <c r="G1648" s="19">
        <v>100</v>
      </c>
      <c r="H1648" s="24">
        <f>IF(G1648/F1648*100&gt;100,100,G1648/F1648*100)</f>
        <v>100</v>
      </c>
      <c r="I1648" s="19"/>
      <c r="J1648" s="129"/>
      <c r="K1648" s="41"/>
      <c r="L1648" s="19"/>
      <c r="M1648" s="122"/>
      <c r="N1648" s="122"/>
      <c r="O1648" s="24"/>
      <c r="P1648" s="468"/>
      <c r="Q1648" s="35"/>
      <c r="R1648" s="19"/>
      <c r="S1648" s="557"/>
      <c r="T1648" s="2"/>
    </row>
    <row r="1649" spans="1:20" s="1" customFormat="1" ht="40.5" customHeight="1" x14ac:dyDescent="0.35">
      <c r="A1649" s="605"/>
      <c r="B1649" s="541"/>
      <c r="C1649" s="465"/>
      <c r="D1649" s="466" t="s">
        <v>644</v>
      </c>
      <c r="E1649" s="465"/>
      <c r="F1649" s="20"/>
      <c r="G1649" s="20"/>
      <c r="H1649" s="18"/>
      <c r="I1649" s="18">
        <f>(H1644+H1645+H1646+H1647+H1648)/5</f>
        <v>100</v>
      </c>
      <c r="J1649" s="128"/>
      <c r="K1649" s="466" t="s">
        <v>644</v>
      </c>
      <c r="L1649" s="20"/>
      <c r="M1649" s="124"/>
      <c r="N1649" s="124"/>
      <c r="O1649" s="18"/>
      <c r="P1649" s="18">
        <f>O1644</f>
        <v>98.023715415019765</v>
      </c>
      <c r="Q1649" s="18">
        <f>(I1649+P1649)/2</f>
        <v>99.011857707509876</v>
      </c>
      <c r="R1649" s="465" t="s">
        <v>112</v>
      </c>
      <c r="S1649" s="557"/>
      <c r="T1649" s="2"/>
    </row>
    <row r="1650" spans="1:20" s="1" customFormat="1" ht="84" customHeight="1" x14ac:dyDescent="0.35">
      <c r="A1650" s="605"/>
      <c r="B1650" s="541"/>
      <c r="C1650" s="454" t="s">
        <v>26</v>
      </c>
      <c r="D1650" s="59" t="s">
        <v>113</v>
      </c>
      <c r="E1650" s="19"/>
      <c r="F1650" s="19"/>
      <c r="G1650" s="19"/>
      <c r="H1650" s="35"/>
      <c r="I1650" s="35"/>
      <c r="J1650" s="454" t="s">
        <v>26</v>
      </c>
      <c r="K1650" s="59" t="s">
        <v>113</v>
      </c>
      <c r="L1650" s="19"/>
      <c r="M1650" s="122"/>
      <c r="N1650" s="122"/>
      <c r="O1650" s="35"/>
      <c r="P1650" s="468"/>
      <c r="Q1650" s="35"/>
      <c r="R1650" s="19"/>
      <c r="S1650" s="557"/>
      <c r="T1650" s="2"/>
    </row>
    <row r="1651" spans="1:20" s="1" customFormat="1" ht="75" customHeight="1" x14ac:dyDescent="0.35">
      <c r="A1651" s="605"/>
      <c r="B1651" s="541"/>
      <c r="C1651" s="19" t="s">
        <v>28</v>
      </c>
      <c r="D1651" s="41" t="s">
        <v>114</v>
      </c>
      <c r="E1651" s="19" t="s">
        <v>18</v>
      </c>
      <c r="F1651" s="19">
        <v>100</v>
      </c>
      <c r="G1651" s="19">
        <v>100</v>
      </c>
      <c r="H1651" s="24">
        <f>IF(G1651/F1651*100&gt;100,100,G1651/F1651*100)</f>
        <v>100</v>
      </c>
      <c r="I1651" s="19"/>
      <c r="J1651" s="129" t="s">
        <v>28</v>
      </c>
      <c r="K1651" s="41" t="s">
        <v>106</v>
      </c>
      <c r="L1651" s="19" t="s">
        <v>20</v>
      </c>
      <c r="M1651" s="19">
        <v>299</v>
      </c>
      <c r="N1651" s="19">
        <v>304</v>
      </c>
      <c r="O1651" s="24">
        <f>IF(N1651/M1651*100&gt;110,110,N1651/M1651*100)</f>
        <v>101.67224080267559</v>
      </c>
      <c r="P1651" s="19"/>
      <c r="Q1651" s="35"/>
      <c r="R1651" s="19"/>
      <c r="S1651" s="557"/>
      <c r="T1651" s="2"/>
    </row>
    <row r="1652" spans="1:20" s="1" customFormat="1" x14ac:dyDescent="0.35">
      <c r="A1652" s="605"/>
      <c r="B1652" s="541"/>
      <c r="C1652" s="19" t="s">
        <v>30</v>
      </c>
      <c r="D1652" s="41" t="s">
        <v>115</v>
      </c>
      <c r="E1652" s="19" t="s">
        <v>18</v>
      </c>
      <c r="F1652" s="19">
        <v>100</v>
      </c>
      <c r="G1652" s="19">
        <v>100</v>
      </c>
      <c r="H1652" s="24">
        <f>IF(G1652/F1652*100&gt;100,100,G1652/F1652*100)</f>
        <v>100</v>
      </c>
      <c r="I1652" s="19"/>
      <c r="J1652" s="129"/>
      <c r="K1652" s="41"/>
      <c r="L1652" s="19"/>
      <c r="M1652" s="122"/>
      <c r="N1652" s="122"/>
      <c r="O1652" s="24"/>
      <c r="P1652" s="468"/>
      <c r="Q1652" s="35"/>
      <c r="R1652" s="19"/>
      <c r="S1652" s="557"/>
      <c r="T1652" s="2"/>
    </row>
    <row r="1653" spans="1:20" s="1" customFormat="1" ht="49.5" customHeight="1" x14ac:dyDescent="0.35">
      <c r="A1653" s="605"/>
      <c r="B1653" s="541"/>
      <c r="C1653" s="19" t="s">
        <v>34</v>
      </c>
      <c r="D1653" s="41" t="s">
        <v>108</v>
      </c>
      <c r="E1653" s="19" t="s">
        <v>18</v>
      </c>
      <c r="F1653" s="19">
        <v>100</v>
      </c>
      <c r="G1653" s="19">
        <v>100</v>
      </c>
      <c r="H1653" s="24">
        <f>IF(G1653/F1653*100&gt;100,100,G1653/F1653*100)</f>
        <v>100</v>
      </c>
      <c r="I1653" s="19"/>
      <c r="J1653" s="129"/>
      <c r="K1653" s="41"/>
      <c r="L1653" s="19"/>
      <c r="M1653" s="122"/>
      <c r="N1653" s="122"/>
      <c r="O1653" s="24"/>
      <c r="P1653" s="468"/>
      <c r="Q1653" s="35"/>
      <c r="R1653" s="19"/>
      <c r="S1653" s="557"/>
      <c r="T1653" s="2"/>
    </row>
    <row r="1654" spans="1:20" s="1" customFormat="1" ht="60" customHeight="1" x14ac:dyDescent="0.35">
      <c r="A1654" s="605"/>
      <c r="B1654" s="541"/>
      <c r="C1654" s="19" t="s">
        <v>78</v>
      </c>
      <c r="D1654" s="41" t="s">
        <v>157</v>
      </c>
      <c r="E1654" s="19" t="s">
        <v>18</v>
      </c>
      <c r="F1654" s="19">
        <v>90</v>
      </c>
      <c r="G1654" s="19">
        <v>100</v>
      </c>
      <c r="H1654" s="24">
        <f>IF(G1654/F1654*100&gt;100,100,G1654/F1654*100)</f>
        <v>100</v>
      </c>
      <c r="I1654" s="19"/>
      <c r="J1654" s="129"/>
      <c r="K1654" s="41"/>
      <c r="L1654" s="19"/>
      <c r="M1654" s="122"/>
      <c r="N1654" s="122"/>
      <c r="O1654" s="24"/>
      <c r="P1654" s="468"/>
      <c r="Q1654" s="35"/>
      <c r="R1654" s="19"/>
      <c r="S1654" s="557"/>
      <c r="T1654" s="2"/>
    </row>
    <row r="1655" spans="1:20" s="1" customFormat="1" ht="122.25" customHeight="1" x14ac:dyDescent="0.35">
      <c r="A1655" s="605"/>
      <c r="B1655" s="541"/>
      <c r="C1655" s="19" t="s">
        <v>79</v>
      </c>
      <c r="D1655" s="41" t="s">
        <v>111</v>
      </c>
      <c r="E1655" s="19" t="s">
        <v>18</v>
      </c>
      <c r="F1655" s="19">
        <v>100</v>
      </c>
      <c r="G1655" s="19">
        <v>100</v>
      </c>
      <c r="H1655" s="24">
        <f>IF(G1655/F1655*100&gt;100,100,G1655/F1655*100)</f>
        <v>100</v>
      </c>
      <c r="I1655" s="19"/>
      <c r="J1655" s="129"/>
      <c r="K1655" s="41"/>
      <c r="L1655" s="19"/>
      <c r="M1655" s="122"/>
      <c r="N1655" s="122"/>
      <c r="O1655" s="24"/>
      <c r="P1655" s="468"/>
      <c r="Q1655" s="35"/>
      <c r="R1655" s="19"/>
      <c r="S1655" s="557"/>
      <c r="T1655" s="2"/>
    </row>
    <row r="1656" spans="1:20" s="1" customFormat="1" ht="40.5" customHeight="1" x14ac:dyDescent="0.35">
      <c r="A1656" s="605"/>
      <c r="B1656" s="541"/>
      <c r="C1656" s="465"/>
      <c r="D1656" s="466" t="s">
        <v>644</v>
      </c>
      <c r="E1656" s="465"/>
      <c r="F1656" s="20"/>
      <c r="G1656" s="20"/>
      <c r="H1656" s="18"/>
      <c r="I1656" s="18">
        <f>(H1651+H1652+H1653+H1654+H1655)/5</f>
        <v>100</v>
      </c>
      <c r="J1656" s="128"/>
      <c r="K1656" s="466" t="s">
        <v>644</v>
      </c>
      <c r="L1656" s="20"/>
      <c r="M1656" s="124"/>
      <c r="N1656" s="124"/>
      <c r="O1656" s="18"/>
      <c r="P1656" s="18">
        <f>O1651</f>
        <v>101.67224080267559</v>
      </c>
      <c r="Q1656" s="18">
        <f>(I1656+P1656)/2</f>
        <v>100.83612040133779</v>
      </c>
      <c r="R1656" s="465" t="s">
        <v>25</v>
      </c>
      <c r="S1656" s="557"/>
      <c r="T1656" s="2"/>
    </row>
    <row r="1657" spans="1:20" s="1" customFormat="1" ht="78" customHeight="1" x14ac:dyDescent="0.35">
      <c r="A1657" s="605"/>
      <c r="B1657" s="541"/>
      <c r="C1657" s="454" t="s">
        <v>36</v>
      </c>
      <c r="D1657" s="59" t="s">
        <v>116</v>
      </c>
      <c r="E1657" s="19"/>
      <c r="F1657" s="19"/>
      <c r="G1657" s="19"/>
      <c r="H1657" s="35"/>
      <c r="I1657" s="35"/>
      <c r="J1657" s="454" t="s">
        <v>36</v>
      </c>
      <c r="K1657" s="59" t="str">
        <f>D1657</f>
        <v>Реализация основных общеобразовательных программ среднего общего образования</v>
      </c>
      <c r="L1657" s="19"/>
      <c r="M1657" s="122"/>
      <c r="N1657" s="122"/>
      <c r="O1657" s="35"/>
      <c r="P1657" s="468"/>
      <c r="Q1657" s="35"/>
      <c r="R1657" s="19"/>
      <c r="S1657" s="557"/>
      <c r="T1657" s="2"/>
    </row>
    <row r="1658" spans="1:20" s="1" customFormat="1" ht="73.5" customHeight="1" x14ac:dyDescent="0.35">
      <c r="A1658" s="605"/>
      <c r="B1658" s="541"/>
      <c r="C1658" s="19" t="s">
        <v>38</v>
      </c>
      <c r="D1658" s="41" t="s">
        <v>117</v>
      </c>
      <c r="E1658" s="19" t="s">
        <v>18</v>
      </c>
      <c r="F1658" s="19">
        <v>100</v>
      </c>
      <c r="G1658" s="19">
        <v>100</v>
      </c>
      <c r="H1658" s="24">
        <f>IF(G1658/F1658*100&gt;100,100,G1658/F1658*100)</f>
        <v>100</v>
      </c>
      <c r="I1658" s="19"/>
      <c r="J1658" s="129" t="s">
        <v>38</v>
      </c>
      <c r="K1658" s="41" t="s">
        <v>106</v>
      </c>
      <c r="L1658" s="19" t="s">
        <v>20</v>
      </c>
      <c r="M1658" s="19">
        <v>49</v>
      </c>
      <c r="N1658" s="19">
        <v>46</v>
      </c>
      <c r="O1658" s="24">
        <f>IF(N1658/M1658*100&gt;110,110,N1658/M1658*100)</f>
        <v>93.877551020408163</v>
      </c>
      <c r="P1658" s="19"/>
      <c r="Q1658" s="35"/>
      <c r="R1658" s="19"/>
      <c r="S1658" s="557"/>
      <c r="T1658" s="2"/>
    </row>
    <row r="1659" spans="1:20" s="1" customFormat="1" x14ac:dyDescent="0.35">
      <c r="A1659" s="605"/>
      <c r="B1659" s="541"/>
      <c r="C1659" s="19" t="s">
        <v>118</v>
      </c>
      <c r="D1659" s="41" t="s">
        <v>119</v>
      </c>
      <c r="E1659" s="19" t="s">
        <v>18</v>
      </c>
      <c r="F1659" s="19">
        <v>100</v>
      </c>
      <c r="G1659" s="19">
        <v>100</v>
      </c>
      <c r="H1659" s="24">
        <f>IF(G1659/F1659*100&gt;100,100,G1659/F1659*100)</f>
        <v>100</v>
      </c>
      <c r="I1659" s="19"/>
      <c r="J1659" s="129"/>
      <c r="K1659" s="41"/>
      <c r="L1659" s="19"/>
      <c r="M1659" s="122"/>
      <c r="N1659" s="122"/>
      <c r="O1659" s="24"/>
      <c r="P1659" s="468"/>
      <c r="Q1659" s="35"/>
      <c r="R1659" s="19"/>
      <c r="S1659" s="557"/>
      <c r="T1659" s="2"/>
    </row>
    <row r="1660" spans="1:20" s="1" customFormat="1" ht="54" customHeight="1" x14ac:dyDescent="0.35">
      <c r="A1660" s="605"/>
      <c r="B1660" s="541"/>
      <c r="C1660" s="19" t="s">
        <v>120</v>
      </c>
      <c r="D1660" s="41" t="s">
        <v>108</v>
      </c>
      <c r="E1660" s="19" t="s">
        <v>18</v>
      </c>
      <c r="F1660" s="19">
        <v>100</v>
      </c>
      <c r="G1660" s="19">
        <v>100</v>
      </c>
      <c r="H1660" s="24">
        <f>IF(G1660/F1660*100&gt;100,100,G1660/F1660*100)</f>
        <v>100</v>
      </c>
      <c r="I1660" s="19"/>
      <c r="J1660" s="129"/>
      <c r="K1660" s="41"/>
      <c r="L1660" s="19"/>
      <c r="M1660" s="122"/>
      <c r="N1660" s="122"/>
      <c r="O1660" s="24"/>
      <c r="P1660" s="468"/>
      <c r="Q1660" s="35"/>
      <c r="R1660" s="19"/>
      <c r="S1660" s="557"/>
      <c r="T1660" s="2"/>
    </row>
    <row r="1661" spans="1:20" s="1" customFormat="1" ht="57.75" customHeight="1" x14ac:dyDescent="0.35">
      <c r="A1661" s="605"/>
      <c r="B1661" s="541"/>
      <c r="C1661" s="19" t="s">
        <v>121</v>
      </c>
      <c r="D1661" s="41" t="s">
        <v>157</v>
      </c>
      <c r="E1661" s="19" t="s">
        <v>18</v>
      </c>
      <c r="F1661" s="19">
        <v>90</v>
      </c>
      <c r="G1661" s="19">
        <v>100</v>
      </c>
      <c r="H1661" s="24">
        <f>IF(G1661/F1661*100&gt;100,100,G1661/F1661*100)</f>
        <v>100</v>
      </c>
      <c r="I1661" s="19"/>
      <c r="J1661" s="129"/>
      <c r="K1661" s="41"/>
      <c r="L1661" s="19"/>
      <c r="M1661" s="122"/>
      <c r="N1661" s="122"/>
      <c r="O1661" s="24"/>
      <c r="P1661" s="468"/>
      <c r="Q1661" s="35"/>
      <c r="R1661" s="19"/>
      <c r="S1661" s="557"/>
      <c r="T1661" s="2"/>
    </row>
    <row r="1662" spans="1:20" s="1" customFormat="1" ht="117.75" customHeight="1" x14ac:dyDescent="0.35">
      <c r="A1662" s="605"/>
      <c r="B1662" s="541"/>
      <c r="C1662" s="19" t="s">
        <v>122</v>
      </c>
      <c r="D1662" s="41" t="s">
        <v>111</v>
      </c>
      <c r="E1662" s="19" t="s">
        <v>18</v>
      </c>
      <c r="F1662" s="19">
        <v>100</v>
      </c>
      <c r="G1662" s="19">
        <v>100</v>
      </c>
      <c r="H1662" s="24">
        <f>IF(G1662/F1662*100&gt;100,100,G1662/F1662*100)</f>
        <v>100</v>
      </c>
      <c r="I1662" s="19"/>
      <c r="J1662" s="129"/>
      <c r="K1662" s="41"/>
      <c r="L1662" s="19"/>
      <c r="M1662" s="122"/>
      <c r="N1662" s="122"/>
      <c r="O1662" s="24"/>
      <c r="P1662" s="468"/>
      <c r="Q1662" s="35"/>
      <c r="R1662" s="19"/>
      <c r="S1662" s="557"/>
      <c r="T1662" s="2"/>
    </row>
    <row r="1663" spans="1:20" s="1" customFormat="1" ht="40.5" customHeight="1" x14ac:dyDescent="0.35">
      <c r="A1663" s="605"/>
      <c r="B1663" s="541"/>
      <c r="C1663" s="465"/>
      <c r="D1663" s="466" t="s">
        <v>644</v>
      </c>
      <c r="E1663" s="465"/>
      <c r="F1663" s="20"/>
      <c r="G1663" s="20"/>
      <c r="H1663" s="18"/>
      <c r="I1663" s="18">
        <f>(H1658+H1659+H1660+H1661+H1662)/5</f>
        <v>100</v>
      </c>
      <c r="J1663" s="128"/>
      <c r="K1663" s="466" t="s">
        <v>644</v>
      </c>
      <c r="L1663" s="20"/>
      <c r="M1663" s="124"/>
      <c r="N1663" s="124"/>
      <c r="O1663" s="18"/>
      <c r="P1663" s="18">
        <f>O1658</f>
        <v>93.877551020408163</v>
      </c>
      <c r="Q1663" s="18">
        <f>(I1663+P1663)/2</f>
        <v>96.938775510204081</v>
      </c>
      <c r="R1663" s="465" t="s">
        <v>112</v>
      </c>
      <c r="S1663" s="557"/>
      <c r="T1663" s="2"/>
    </row>
    <row r="1664" spans="1:20" s="1" customFormat="1" x14ac:dyDescent="0.35">
      <c r="A1664" s="605"/>
      <c r="B1664" s="541"/>
      <c r="C1664" s="454" t="s">
        <v>123</v>
      </c>
      <c r="D1664" s="59" t="s">
        <v>27</v>
      </c>
      <c r="E1664" s="19"/>
      <c r="F1664" s="19"/>
      <c r="G1664" s="19"/>
      <c r="H1664" s="35"/>
      <c r="I1664" s="35"/>
      <c r="J1664" s="454" t="s">
        <v>123</v>
      </c>
      <c r="K1664" s="59" t="s">
        <v>27</v>
      </c>
      <c r="L1664" s="19"/>
      <c r="M1664" s="122"/>
      <c r="N1664" s="122"/>
      <c r="O1664" s="35"/>
      <c r="P1664" s="468"/>
      <c r="Q1664" s="35"/>
      <c r="R1664" s="19"/>
      <c r="S1664" s="557"/>
      <c r="T1664" s="2"/>
    </row>
    <row r="1665" spans="1:21" s="1" customFormat="1" ht="48.75" customHeight="1" x14ac:dyDescent="0.35">
      <c r="A1665" s="605"/>
      <c r="B1665" s="541"/>
      <c r="C1665" s="19" t="s">
        <v>124</v>
      </c>
      <c r="D1665" s="41" t="s">
        <v>125</v>
      </c>
      <c r="E1665" s="19" t="s">
        <v>18</v>
      </c>
      <c r="F1665" s="19">
        <v>100</v>
      </c>
      <c r="G1665" s="19">
        <v>100</v>
      </c>
      <c r="H1665" s="24">
        <f>IF(G1665/F1665*100&gt;100,100,G1665/F1665*100)</f>
        <v>100</v>
      </c>
      <c r="I1665" s="19"/>
      <c r="J1665" s="129" t="s">
        <v>124</v>
      </c>
      <c r="K1665" s="41" t="s">
        <v>106</v>
      </c>
      <c r="L1665" s="19" t="s">
        <v>20</v>
      </c>
      <c r="M1665" s="19">
        <v>50</v>
      </c>
      <c r="N1665" s="19">
        <v>50</v>
      </c>
      <c r="O1665" s="24">
        <f>IF(N1665/M1665*100&gt;110,110,N1665/M1665*100)</f>
        <v>100</v>
      </c>
      <c r="P1665" s="468"/>
      <c r="Q1665" s="35"/>
      <c r="R1665" s="19"/>
      <c r="S1665" s="557"/>
      <c r="T1665" s="2"/>
    </row>
    <row r="1666" spans="1:21" s="1" customFormat="1" ht="78" customHeight="1" x14ac:dyDescent="0.35">
      <c r="A1666" s="605"/>
      <c r="B1666" s="541"/>
      <c r="C1666" s="19" t="s">
        <v>127</v>
      </c>
      <c r="D1666" s="41" t="s">
        <v>128</v>
      </c>
      <c r="E1666" s="19" t="s">
        <v>18</v>
      </c>
      <c r="F1666" s="19">
        <v>90</v>
      </c>
      <c r="G1666" s="19">
        <v>100</v>
      </c>
      <c r="H1666" s="24">
        <f>IF(G1666/F1666*100&gt;100,100,G1666/F1666*100)</f>
        <v>100</v>
      </c>
      <c r="I1666" s="19"/>
      <c r="J1666" s="129"/>
      <c r="K1666" s="41"/>
      <c r="L1666" s="19"/>
      <c r="M1666" s="122"/>
      <c r="N1666" s="122"/>
      <c r="O1666" s="24"/>
      <c r="P1666" s="468"/>
      <c r="Q1666" s="35"/>
      <c r="R1666" s="19"/>
      <c r="S1666" s="557"/>
      <c r="T1666" s="2"/>
    </row>
    <row r="1667" spans="1:21" s="1" customFormat="1" ht="40.5" customHeight="1" x14ac:dyDescent="0.35">
      <c r="A1667" s="605"/>
      <c r="B1667" s="541"/>
      <c r="C1667" s="465"/>
      <c r="D1667" s="466" t="s">
        <v>644</v>
      </c>
      <c r="E1667" s="465"/>
      <c r="F1667" s="20"/>
      <c r="G1667" s="20"/>
      <c r="H1667" s="18"/>
      <c r="I1667" s="18">
        <f>(H1665+H1666)/2</f>
        <v>100</v>
      </c>
      <c r="J1667" s="128"/>
      <c r="K1667" s="466" t="s">
        <v>644</v>
      </c>
      <c r="L1667" s="20"/>
      <c r="M1667" s="124"/>
      <c r="N1667" s="124"/>
      <c r="O1667" s="18"/>
      <c r="P1667" s="18">
        <f>O1665</f>
        <v>100</v>
      </c>
      <c r="Q1667" s="18">
        <f>(I1667+P1667)/2</f>
        <v>100</v>
      </c>
      <c r="R1667" s="465" t="s">
        <v>25</v>
      </c>
      <c r="S1667" s="557"/>
      <c r="T1667" s="2"/>
    </row>
    <row r="1668" spans="1:21" s="1" customFormat="1" ht="60.75" customHeight="1" x14ac:dyDescent="0.35">
      <c r="A1668" s="605"/>
      <c r="B1668" s="541"/>
      <c r="C1668" s="454" t="s">
        <v>129</v>
      </c>
      <c r="D1668" s="59" t="s">
        <v>130</v>
      </c>
      <c r="E1668" s="19"/>
      <c r="F1668" s="19"/>
      <c r="G1668" s="19"/>
      <c r="H1668" s="35"/>
      <c r="I1668" s="35"/>
      <c r="J1668" s="454" t="s">
        <v>129</v>
      </c>
      <c r="K1668" s="59" t="str">
        <f>D1668</f>
        <v>Реализация дополнительных общеразвивающих программ</v>
      </c>
      <c r="L1668" s="19"/>
      <c r="M1668" s="122"/>
      <c r="N1668" s="122"/>
      <c r="O1668" s="35"/>
      <c r="P1668" s="468"/>
      <c r="Q1668" s="35"/>
      <c r="R1668" s="19"/>
      <c r="S1668" s="557"/>
      <c r="T1668" s="2"/>
    </row>
    <row r="1669" spans="1:21" s="1" customFormat="1" ht="80.25" customHeight="1" x14ac:dyDescent="0.35">
      <c r="A1669" s="605"/>
      <c r="B1669" s="541"/>
      <c r="C1669" s="19" t="s">
        <v>131</v>
      </c>
      <c r="D1669" s="41" t="s">
        <v>128</v>
      </c>
      <c r="E1669" s="19" t="s">
        <v>18</v>
      </c>
      <c r="F1669" s="19">
        <v>100</v>
      </c>
      <c r="G1669" s="19">
        <v>99</v>
      </c>
      <c r="H1669" s="24">
        <f>IF(G1669/F1669*100&gt;100,100,G1669/F1669*100)</f>
        <v>99</v>
      </c>
      <c r="I1669" s="19"/>
      <c r="J1669" s="129" t="str">
        <f>C1669</f>
        <v>5.1.</v>
      </c>
      <c r="K1669" s="41" t="s">
        <v>136</v>
      </c>
      <c r="L1669" s="19" t="s">
        <v>139</v>
      </c>
      <c r="M1669" s="19">
        <v>36720</v>
      </c>
      <c r="N1669" s="19">
        <v>37392</v>
      </c>
      <c r="O1669" s="24">
        <f>IF(N1669/M1669*100&gt;110,110,N1669/M1669*100)</f>
        <v>101.83006535947712</v>
      </c>
      <c r="P1669" s="468"/>
      <c r="Q1669" s="35"/>
      <c r="R1669" s="19"/>
      <c r="S1669" s="557"/>
      <c r="T1669" s="2"/>
    </row>
    <row r="1670" spans="1:21" s="217" customFormat="1" ht="39" customHeight="1" x14ac:dyDescent="0.35">
      <c r="A1670" s="605"/>
      <c r="B1670" s="541"/>
      <c r="C1670" s="465"/>
      <c r="D1670" s="466" t="s">
        <v>644</v>
      </c>
      <c r="E1670" s="465"/>
      <c r="F1670" s="20"/>
      <c r="G1670" s="20"/>
      <c r="H1670" s="18"/>
      <c r="I1670" s="18">
        <f>H1669</f>
        <v>99</v>
      </c>
      <c r="J1670" s="128"/>
      <c r="K1670" s="466" t="s">
        <v>644</v>
      </c>
      <c r="L1670" s="20"/>
      <c r="M1670" s="124"/>
      <c r="N1670" s="124"/>
      <c r="O1670" s="18"/>
      <c r="P1670" s="18">
        <f>O1669</f>
        <v>101.83006535947712</v>
      </c>
      <c r="Q1670" s="18">
        <f>(I1670+P1670)/2</f>
        <v>100.41503267973856</v>
      </c>
      <c r="R1670" s="465" t="s">
        <v>25</v>
      </c>
      <c r="S1670" s="557"/>
      <c r="T1670" s="216"/>
    </row>
    <row r="1671" spans="1:21" s="1" customFormat="1" ht="85.5" customHeight="1" x14ac:dyDescent="0.35">
      <c r="A1671" s="605">
        <v>74</v>
      </c>
      <c r="B1671" s="541" t="s">
        <v>207</v>
      </c>
      <c r="C1671" s="454" t="s">
        <v>13</v>
      </c>
      <c r="D1671" s="59" t="s">
        <v>130</v>
      </c>
      <c r="E1671" s="454"/>
      <c r="F1671" s="454"/>
      <c r="G1671" s="454"/>
      <c r="H1671" s="35"/>
      <c r="I1671" s="35"/>
      <c r="J1671" s="454" t="s">
        <v>13</v>
      </c>
      <c r="K1671" s="59" t="s">
        <v>130</v>
      </c>
      <c r="L1671" s="19"/>
      <c r="M1671" s="19"/>
      <c r="N1671" s="19"/>
      <c r="O1671" s="35"/>
      <c r="P1671" s="35"/>
      <c r="Q1671" s="35"/>
      <c r="R1671" s="19"/>
      <c r="S1671" s="557" t="s">
        <v>104</v>
      </c>
      <c r="T1671" s="2"/>
    </row>
    <row r="1672" spans="1:21" s="1" customFormat="1" ht="66" customHeight="1" x14ac:dyDescent="0.35">
      <c r="A1672" s="605"/>
      <c r="B1672" s="541"/>
      <c r="C1672" s="19" t="s">
        <v>16</v>
      </c>
      <c r="D1672" s="41" t="s">
        <v>297</v>
      </c>
      <c r="E1672" s="19" t="s">
        <v>18</v>
      </c>
      <c r="F1672" s="19">
        <v>100</v>
      </c>
      <c r="G1672" s="19">
        <v>98</v>
      </c>
      <c r="H1672" s="24">
        <f>IF(G1672/F1672*100&gt;100,100,G1672/F1672*100)</f>
        <v>98</v>
      </c>
      <c r="I1672" s="19"/>
      <c r="J1672" s="19" t="s">
        <v>16</v>
      </c>
      <c r="K1672" s="455" t="s">
        <v>209</v>
      </c>
      <c r="L1672" s="19" t="s">
        <v>158</v>
      </c>
      <c r="M1672" s="19">
        <v>111528</v>
      </c>
      <c r="N1672" s="19">
        <v>105287</v>
      </c>
      <c r="O1672" s="24">
        <f>IF(N1672/M1672*100&gt;110,110,N1672/M1672*100)</f>
        <v>94.404095832436695</v>
      </c>
      <c r="P1672" s="468"/>
      <c r="Q1672" s="35"/>
      <c r="R1672" s="19"/>
      <c r="S1672" s="557"/>
      <c r="T1672" s="2"/>
    </row>
    <row r="1673" spans="1:21" s="1" customFormat="1" ht="96.75" customHeight="1" x14ac:dyDescent="0.35">
      <c r="A1673" s="605"/>
      <c r="B1673" s="541"/>
      <c r="C1673" s="19"/>
      <c r="D1673" s="41"/>
      <c r="E1673" s="19"/>
      <c r="F1673" s="477"/>
      <c r="G1673" s="477"/>
      <c r="H1673" s="24"/>
      <c r="I1673" s="19"/>
      <c r="J1673" s="19" t="s">
        <v>21</v>
      </c>
      <c r="K1673" s="455" t="s">
        <v>210</v>
      </c>
      <c r="L1673" s="19" t="s">
        <v>158</v>
      </c>
      <c r="M1673" s="19">
        <v>78438</v>
      </c>
      <c r="N1673" s="19">
        <v>73906</v>
      </c>
      <c r="O1673" s="24">
        <f>IF(N1673/M1673*100&gt;110,110,N1673/M1673*100)</f>
        <v>94.222188225094982</v>
      </c>
      <c r="P1673" s="468"/>
      <c r="Q1673" s="35"/>
      <c r="R1673" s="19"/>
      <c r="S1673" s="557"/>
      <c r="T1673" s="2"/>
    </row>
    <row r="1674" spans="1:21" s="1" customFormat="1" ht="39.75" customHeight="1" x14ac:dyDescent="0.35">
      <c r="A1674" s="605"/>
      <c r="B1674" s="541"/>
      <c r="C1674" s="128"/>
      <c r="D1674" s="466" t="s">
        <v>644</v>
      </c>
      <c r="E1674" s="20"/>
      <c r="F1674" s="127"/>
      <c r="G1674" s="126"/>
      <c r="H1674" s="18"/>
      <c r="I1674" s="18">
        <f>H1672</f>
        <v>98</v>
      </c>
      <c r="J1674" s="20"/>
      <c r="K1674" s="466" t="s">
        <v>644</v>
      </c>
      <c r="L1674" s="20"/>
      <c r="M1674" s="124"/>
      <c r="N1674" s="124"/>
      <c r="O1674" s="18"/>
      <c r="P1674" s="18">
        <f>(O1672+O1673)/2</f>
        <v>94.313142028765839</v>
      </c>
      <c r="Q1674" s="18">
        <f>(I1674+P1674)/2</f>
        <v>96.156571014382919</v>
      </c>
      <c r="R1674" s="465" t="s">
        <v>112</v>
      </c>
      <c r="S1674" s="557"/>
      <c r="T1674" s="2"/>
      <c r="U1674" s="3"/>
    </row>
    <row r="1675" spans="1:21" s="1" customFormat="1" ht="87.75" customHeight="1" x14ac:dyDescent="0.35">
      <c r="A1675" s="605"/>
      <c r="B1675" s="541"/>
      <c r="C1675" s="454" t="s">
        <v>26</v>
      </c>
      <c r="D1675" s="59" t="s">
        <v>211</v>
      </c>
      <c r="E1675" s="19"/>
      <c r="F1675" s="19"/>
      <c r="G1675" s="19"/>
      <c r="H1675" s="35"/>
      <c r="I1675" s="35"/>
      <c r="J1675" s="454" t="s">
        <v>26</v>
      </c>
      <c r="K1675" s="59" t="s">
        <v>211</v>
      </c>
      <c r="L1675" s="19"/>
      <c r="M1675" s="19"/>
      <c r="N1675" s="19"/>
      <c r="O1675" s="35"/>
      <c r="P1675" s="35"/>
      <c r="Q1675" s="35"/>
      <c r="R1675" s="19"/>
      <c r="S1675" s="557"/>
      <c r="T1675" s="2"/>
    </row>
    <row r="1676" spans="1:21" s="1" customFormat="1" ht="79.5" customHeight="1" x14ac:dyDescent="0.35">
      <c r="A1676" s="605"/>
      <c r="B1676" s="541"/>
      <c r="C1676" s="19" t="s">
        <v>28</v>
      </c>
      <c r="D1676" s="41" t="s">
        <v>212</v>
      </c>
      <c r="E1676" s="19"/>
      <c r="F1676" s="19"/>
      <c r="G1676" s="19"/>
      <c r="H1676" s="24"/>
      <c r="I1676" s="19"/>
      <c r="J1676" s="19" t="s">
        <v>28</v>
      </c>
      <c r="K1676" s="41" t="s">
        <v>213</v>
      </c>
      <c r="L1676" s="19"/>
      <c r="M1676" s="19"/>
      <c r="N1676" s="19"/>
      <c r="O1676" s="24"/>
      <c r="P1676" s="19"/>
      <c r="Q1676" s="35"/>
      <c r="R1676" s="19"/>
      <c r="S1676" s="557"/>
      <c r="T1676" s="2"/>
    </row>
    <row r="1677" spans="1:21" s="1" customFormat="1" ht="81" customHeight="1" x14ac:dyDescent="0.35">
      <c r="A1677" s="605"/>
      <c r="B1677" s="541"/>
      <c r="C1677" s="19" t="s">
        <v>214</v>
      </c>
      <c r="D1677" s="41" t="s">
        <v>215</v>
      </c>
      <c r="E1677" s="19" t="s">
        <v>18</v>
      </c>
      <c r="F1677" s="19">
        <v>100</v>
      </c>
      <c r="G1677" s="19">
        <v>100</v>
      </c>
      <c r="H1677" s="24">
        <f>IF(G1677/F1677*100&gt;100,100,G1677/F1677*100)</f>
        <v>100</v>
      </c>
      <c r="I1677" s="19"/>
      <c r="J1677" s="19" t="s">
        <v>214</v>
      </c>
      <c r="K1677" s="41" t="str">
        <f>D1677</f>
        <v>творческие (фестивали, выставки, конкурсы, смотры)</v>
      </c>
      <c r="L1677" s="19" t="s">
        <v>216</v>
      </c>
      <c r="M1677" s="19">
        <v>11</v>
      </c>
      <c r="N1677" s="19">
        <v>11</v>
      </c>
      <c r="O1677" s="24">
        <f>IF(N1677/M1677*100&gt;110,110,N1677/M1677*100)</f>
        <v>100</v>
      </c>
      <c r="P1677" s="19"/>
      <c r="Q1677" s="35"/>
      <c r="R1677" s="19"/>
      <c r="S1677" s="557"/>
      <c r="T1677" s="2"/>
    </row>
    <row r="1678" spans="1:21" s="1" customFormat="1" x14ac:dyDescent="0.35">
      <c r="A1678" s="605"/>
      <c r="B1678" s="541"/>
      <c r="C1678" s="607" t="s">
        <v>217</v>
      </c>
      <c r="D1678" s="609" t="s">
        <v>218</v>
      </c>
      <c r="E1678" s="607" t="s">
        <v>18</v>
      </c>
      <c r="F1678" s="607">
        <v>100</v>
      </c>
      <c r="G1678" s="607">
        <v>100</v>
      </c>
      <c r="H1678" s="608">
        <f>IF(G1678/F1678*100&gt;100,100,G1678/F1678*100)</f>
        <v>100</v>
      </c>
      <c r="I1678" s="607"/>
      <c r="J1678" s="607" t="s">
        <v>217</v>
      </c>
      <c r="K1678" s="609" t="str">
        <f>D1678</f>
        <v>культурно-массовые (иные зрелищные мероприятия)</v>
      </c>
      <c r="L1678" s="607" t="s">
        <v>216</v>
      </c>
      <c r="M1678" s="607">
        <v>5</v>
      </c>
      <c r="N1678" s="607">
        <v>5</v>
      </c>
      <c r="O1678" s="608">
        <f>IF(N1678/M1678*100&gt;110,110,N1678/M1678*100)</f>
        <v>100</v>
      </c>
      <c r="P1678" s="607"/>
      <c r="Q1678" s="610"/>
      <c r="R1678" s="607"/>
      <c r="S1678" s="557"/>
      <c r="T1678" s="2"/>
    </row>
    <row r="1679" spans="1:21" s="1" customFormat="1" ht="25.5" customHeight="1" x14ac:dyDescent="0.35">
      <c r="A1679" s="605"/>
      <c r="B1679" s="541"/>
      <c r="C1679" s="607"/>
      <c r="D1679" s="609"/>
      <c r="E1679" s="607"/>
      <c r="F1679" s="607"/>
      <c r="G1679" s="607"/>
      <c r="H1679" s="608" t="e">
        <f>IF(G1679/F1679*100&gt;100,100,G1679/F1679*100)</f>
        <v>#DIV/0!</v>
      </c>
      <c r="I1679" s="607"/>
      <c r="J1679" s="607"/>
      <c r="K1679" s="609"/>
      <c r="L1679" s="607"/>
      <c r="M1679" s="607"/>
      <c r="N1679" s="607"/>
      <c r="O1679" s="608"/>
      <c r="P1679" s="607"/>
      <c r="Q1679" s="610"/>
      <c r="R1679" s="607"/>
      <c r="S1679" s="557"/>
      <c r="T1679" s="2"/>
    </row>
    <row r="1680" spans="1:21" s="1" customFormat="1" ht="33" customHeight="1" x14ac:dyDescent="0.35">
      <c r="A1680" s="605"/>
      <c r="B1680" s="541"/>
      <c r="C1680" s="19" t="s">
        <v>219</v>
      </c>
      <c r="D1680" s="41" t="s">
        <v>220</v>
      </c>
      <c r="E1680" s="19" t="s">
        <v>18</v>
      </c>
      <c r="F1680" s="19">
        <v>100</v>
      </c>
      <c r="G1680" s="19">
        <v>100</v>
      </c>
      <c r="H1680" s="24">
        <f>IF(G1680/F1680*100&gt;100,100,G1680/F1680*100)</f>
        <v>100</v>
      </c>
      <c r="I1680" s="19"/>
      <c r="J1680" s="19" t="s">
        <v>219</v>
      </c>
      <c r="K1680" s="41" t="str">
        <f>D1680</f>
        <v>методические (семинар, конференция)</v>
      </c>
      <c r="L1680" s="19" t="s">
        <v>216</v>
      </c>
      <c r="M1680" s="19">
        <v>4</v>
      </c>
      <c r="N1680" s="19">
        <v>4</v>
      </c>
      <c r="O1680" s="24">
        <f>IF(N1680/M1680*100&gt;110,110,N1680/M1680*100)</f>
        <v>100</v>
      </c>
      <c r="P1680" s="19"/>
      <c r="Q1680" s="35"/>
      <c r="R1680" s="19"/>
      <c r="S1680" s="557"/>
      <c r="T1680" s="2"/>
    </row>
    <row r="1681" spans="1:21" s="1" customFormat="1" ht="39.75" customHeight="1" x14ac:dyDescent="0.35">
      <c r="A1681" s="605"/>
      <c r="B1681" s="541"/>
      <c r="C1681" s="128"/>
      <c r="D1681" s="466" t="s">
        <v>644</v>
      </c>
      <c r="E1681" s="20"/>
      <c r="F1681" s="127"/>
      <c r="G1681" s="126"/>
      <c r="H1681" s="18"/>
      <c r="I1681" s="18">
        <f>(H1680+H1678+H1677)/3</f>
        <v>100</v>
      </c>
      <c r="J1681" s="20"/>
      <c r="K1681" s="466" t="s">
        <v>644</v>
      </c>
      <c r="L1681" s="20"/>
      <c r="M1681" s="124"/>
      <c r="N1681" s="124"/>
      <c r="O1681" s="18"/>
      <c r="P1681" s="18">
        <f>(O1680+O1678+O1677)/3</f>
        <v>100</v>
      </c>
      <c r="Q1681" s="18">
        <f>(I1681+P1681)/2</f>
        <v>100</v>
      </c>
      <c r="R1681" s="465" t="s">
        <v>25</v>
      </c>
      <c r="S1681" s="557"/>
      <c r="T1681" s="2"/>
      <c r="U1681" s="3"/>
    </row>
    <row r="1682" spans="1:21" s="1" customFormat="1" ht="170.25" customHeight="1" x14ac:dyDescent="0.35">
      <c r="A1682" s="605"/>
      <c r="B1682" s="541"/>
      <c r="C1682" s="454" t="s">
        <v>36</v>
      </c>
      <c r="D1682" s="59" t="s">
        <v>221</v>
      </c>
      <c r="E1682" s="19"/>
      <c r="F1682" s="19"/>
      <c r="G1682" s="19"/>
      <c r="H1682" s="35"/>
      <c r="I1682" s="35"/>
      <c r="J1682" s="454" t="s">
        <v>36</v>
      </c>
      <c r="K1682" s="59" t="str">
        <f>D1682</f>
        <v>Организация мероприятий, направленных на профилактику асоциального и деструктивного поведения подростков и молодежи, поддержка детей и молодежи, находящейся в социально-опасном положении</v>
      </c>
      <c r="L1682" s="19"/>
      <c r="M1682" s="19"/>
      <c r="N1682" s="19"/>
      <c r="O1682" s="35"/>
      <c r="P1682" s="35"/>
      <c r="Q1682" s="35"/>
      <c r="R1682" s="19"/>
      <c r="S1682" s="557"/>
      <c r="T1682" s="2"/>
    </row>
    <row r="1683" spans="1:21" s="1" customFormat="1" ht="53.25" customHeight="1" x14ac:dyDescent="0.35">
      <c r="A1683" s="605"/>
      <c r="B1683" s="541"/>
      <c r="C1683" s="19" t="s">
        <v>38</v>
      </c>
      <c r="D1683" s="41" t="s">
        <v>212</v>
      </c>
      <c r="E1683" s="19" t="s">
        <v>18</v>
      </c>
      <c r="F1683" s="19">
        <v>100</v>
      </c>
      <c r="G1683" s="19">
        <v>100</v>
      </c>
      <c r="H1683" s="24">
        <f>IF(G1683/F1683*100&gt;100,100,G1683/F1683*100)</f>
        <v>100</v>
      </c>
      <c r="I1683" s="19"/>
      <c r="J1683" s="19" t="s">
        <v>38</v>
      </c>
      <c r="K1683" s="41" t="s">
        <v>213</v>
      </c>
      <c r="L1683" s="19" t="s">
        <v>216</v>
      </c>
      <c r="M1683" s="19">
        <v>11</v>
      </c>
      <c r="N1683" s="19">
        <v>11</v>
      </c>
      <c r="O1683" s="24">
        <f>IF(N1683/M1683*100&gt;110,110,N1683/M1683*100)</f>
        <v>100</v>
      </c>
      <c r="P1683" s="19"/>
      <c r="Q1683" s="35"/>
      <c r="R1683" s="19"/>
      <c r="S1683" s="557"/>
      <c r="T1683" s="2"/>
    </row>
    <row r="1684" spans="1:21" s="1" customFormat="1" ht="37.5" customHeight="1" x14ac:dyDescent="0.35">
      <c r="A1684" s="605"/>
      <c r="B1684" s="541"/>
      <c r="C1684" s="465"/>
      <c r="D1684" s="466" t="s">
        <v>644</v>
      </c>
      <c r="E1684" s="465"/>
      <c r="F1684" s="20"/>
      <c r="G1684" s="20"/>
      <c r="H1684" s="18"/>
      <c r="I1684" s="18">
        <f>H1683</f>
        <v>100</v>
      </c>
      <c r="J1684" s="128"/>
      <c r="K1684" s="466" t="s">
        <v>644</v>
      </c>
      <c r="L1684" s="20"/>
      <c r="M1684" s="124"/>
      <c r="N1684" s="124"/>
      <c r="O1684" s="18"/>
      <c r="P1684" s="18">
        <f>O1683</f>
        <v>100</v>
      </c>
      <c r="Q1684" s="18">
        <f>(I1684+P1684)/2</f>
        <v>100</v>
      </c>
      <c r="R1684" s="465" t="s">
        <v>25</v>
      </c>
      <c r="S1684" s="557"/>
      <c r="T1684" s="2"/>
    </row>
    <row r="1685" spans="1:21" s="1" customFormat="1" ht="81.75" customHeight="1" x14ac:dyDescent="0.35">
      <c r="A1685" s="605">
        <v>75</v>
      </c>
      <c r="B1685" s="541" t="s">
        <v>222</v>
      </c>
      <c r="C1685" s="454" t="s">
        <v>13</v>
      </c>
      <c r="D1685" s="59" t="s">
        <v>130</v>
      </c>
      <c r="E1685" s="454"/>
      <c r="F1685" s="454"/>
      <c r="G1685" s="454"/>
      <c r="H1685" s="35"/>
      <c r="I1685" s="35"/>
      <c r="J1685" s="454" t="s">
        <v>13</v>
      </c>
      <c r="K1685" s="59" t="s">
        <v>130</v>
      </c>
      <c r="L1685" s="19"/>
      <c r="M1685" s="19"/>
      <c r="N1685" s="19"/>
      <c r="O1685" s="35"/>
      <c r="P1685" s="35"/>
      <c r="Q1685" s="35"/>
      <c r="R1685" s="19"/>
      <c r="S1685" s="557" t="s">
        <v>104</v>
      </c>
      <c r="T1685" s="2"/>
    </row>
    <row r="1686" spans="1:21" s="1" customFormat="1" ht="55.5" customHeight="1" x14ac:dyDescent="0.35">
      <c r="A1686" s="605"/>
      <c r="B1686" s="541"/>
      <c r="C1686" s="19" t="s">
        <v>16</v>
      </c>
      <c r="D1686" s="41" t="s">
        <v>297</v>
      </c>
      <c r="E1686" s="19" t="s">
        <v>18</v>
      </c>
      <c r="F1686" s="19">
        <v>100</v>
      </c>
      <c r="G1686" s="19">
        <v>99.2</v>
      </c>
      <c r="H1686" s="24">
        <f>IF(G1686/F1686*100&gt;100,100,G1686/F1686*100)</f>
        <v>99.2</v>
      </c>
      <c r="I1686" s="19"/>
      <c r="J1686" s="19" t="s">
        <v>16</v>
      </c>
      <c r="K1686" s="455" t="s">
        <v>223</v>
      </c>
      <c r="L1686" s="19" t="s">
        <v>158</v>
      </c>
      <c r="M1686" s="19"/>
      <c r="N1686" s="19"/>
      <c r="O1686" s="24"/>
      <c r="P1686" s="468"/>
      <c r="Q1686" s="35"/>
      <c r="R1686" s="19"/>
      <c r="S1686" s="557"/>
      <c r="T1686" s="2"/>
    </row>
    <row r="1687" spans="1:21" s="1" customFormat="1" ht="71.25" customHeight="1" x14ac:dyDescent="0.35">
      <c r="A1687" s="605"/>
      <c r="B1687" s="541"/>
      <c r="C1687" s="19"/>
      <c r="D1687" s="41"/>
      <c r="E1687" s="19"/>
      <c r="F1687" s="477"/>
      <c r="G1687" s="477"/>
      <c r="H1687" s="24"/>
      <c r="I1687" s="19"/>
      <c r="J1687" s="19" t="s">
        <v>224</v>
      </c>
      <c r="K1687" s="455" t="s">
        <v>225</v>
      </c>
      <c r="L1687" s="19" t="s">
        <v>158</v>
      </c>
      <c r="M1687" s="19">
        <v>48912</v>
      </c>
      <c r="N1687" s="19">
        <v>48668</v>
      </c>
      <c r="O1687" s="24">
        <f>IF(N1687/M1687*100&gt;110,110,N1687/M1687*100)</f>
        <v>99.501144913313709</v>
      </c>
      <c r="P1687" s="468"/>
      <c r="Q1687" s="35"/>
      <c r="R1687" s="19"/>
      <c r="S1687" s="557"/>
      <c r="T1687" s="2"/>
    </row>
    <row r="1688" spans="1:21" s="1" customFormat="1" ht="70.5" customHeight="1" x14ac:dyDescent="0.35">
      <c r="A1688" s="605"/>
      <c r="B1688" s="541"/>
      <c r="C1688" s="19"/>
      <c r="D1688" s="41"/>
      <c r="E1688" s="19"/>
      <c r="F1688" s="19"/>
      <c r="G1688" s="19"/>
      <c r="H1688" s="24"/>
      <c r="I1688" s="19"/>
      <c r="J1688" s="19" t="s">
        <v>226</v>
      </c>
      <c r="K1688" s="455" t="s">
        <v>227</v>
      </c>
      <c r="L1688" s="19" t="s">
        <v>158</v>
      </c>
      <c r="M1688" s="19">
        <v>191167</v>
      </c>
      <c r="N1688" s="19">
        <v>192037</v>
      </c>
      <c r="O1688" s="24">
        <f>IF(N1688/M1688*100&gt;110,110,N1688/M1688*100)</f>
        <v>100.45509946800442</v>
      </c>
      <c r="P1688" s="468"/>
      <c r="Q1688" s="35"/>
      <c r="R1688" s="19"/>
      <c r="S1688" s="557"/>
      <c r="T1688" s="2"/>
    </row>
    <row r="1689" spans="1:21" s="1" customFormat="1" ht="72.75" customHeight="1" x14ac:dyDescent="0.35">
      <c r="A1689" s="605"/>
      <c r="B1689" s="541"/>
      <c r="C1689" s="19"/>
      <c r="D1689" s="41"/>
      <c r="E1689" s="19"/>
      <c r="F1689" s="19"/>
      <c r="G1689" s="19"/>
      <c r="H1689" s="24"/>
      <c r="I1689" s="19"/>
      <c r="J1689" s="19" t="s">
        <v>228</v>
      </c>
      <c r="K1689" s="455" t="s">
        <v>229</v>
      </c>
      <c r="L1689" s="19" t="s">
        <v>158</v>
      </c>
      <c r="M1689" s="19">
        <v>19402</v>
      </c>
      <c r="N1689" s="19">
        <v>19402</v>
      </c>
      <c r="O1689" s="24">
        <f>IF(N1689/M1689*100&gt;110,110,N1689/M1689*100)</f>
        <v>100</v>
      </c>
      <c r="P1689" s="19"/>
      <c r="Q1689" s="35"/>
      <c r="R1689" s="19"/>
      <c r="S1689" s="557"/>
      <c r="T1689" s="2"/>
    </row>
    <row r="1690" spans="1:21" s="1" customFormat="1" ht="60" customHeight="1" x14ac:dyDescent="0.35">
      <c r="A1690" s="605"/>
      <c r="B1690" s="541"/>
      <c r="C1690" s="19"/>
      <c r="D1690" s="41"/>
      <c r="E1690" s="19"/>
      <c r="F1690" s="19"/>
      <c r="G1690" s="19"/>
      <c r="H1690" s="24"/>
      <c r="I1690" s="19"/>
      <c r="J1690" s="19" t="s">
        <v>230</v>
      </c>
      <c r="K1690" s="455" t="s">
        <v>231</v>
      </c>
      <c r="L1690" s="19" t="s">
        <v>158</v>
      </c>
      <c r="M1690" s="19">
        <v>25582</v>
      </c>
      <c r="N1690" s="19">
        <v>25988</v>
      </c>
      <c r="O1690" s="24">
        <f>IF(N1690/M1690*100&gt;110,110,N1690/M1690*100)</f>
        <v>101.58705339691971</v>
      </c>
      <c r="P1690" s="468"/>
      <c r="Q1690" s="35"/>
      <c r="R1690" s="19"/>
      <c r="S1690" s="557"/>
      <c r="T1690" s="2"/>
    </row>
    <row r="1691" spans="1:21" s="1" customFormat="1" ht="51.75" customHeight="1" x14ac:dyDescent="0.35">
      <c r="A1691" s="605"/>
      <c r="B1691" s="541"/>
      <c r="C1691" s="128"/>
      <c r="D1691" s="466" t="s">
        <v>644</v>
      </c>
      <c r="E1691" s="20"/>
      <c r="F1691" s="127"/>
      <c r="G1691" s="126"/>
      <c r="H1691" s="18"/>
      <c r="I1691" s="18">
        <f>H1686</f>
        <v>99.2</v>
      </c>
      <c r="J1691" s="20"/>
      <c r="K1691" s="466" t="s">
        <v>644</v>
      </c>
      <c r="L1691" s="20"/>
      <c r="M1691" s="124"/>
      <c r="N1691" s="124"/>
      <c r="O1691" s="18"/>
      <c r="P1691" s="18">
        <f>(O1690+O1688+O1687+O1689)/4</f>
        <v>100.38582444455946</v>
      </c>
      <c r="Q1691" s="18">
        <f>(I1691+P1691)/2</f>
        <v>99.792912222279739</v>
      </c>
      <c r="R1691" s="465" t="s">
        <v>112</v>
      </c>
      <c r="S1691" s="557"/>
      <c r="T1691" s="2"/>
      <c r="U1691" s="3"/>
    </row>
    <row r="1692" spans="1:21" s="214" customFormat="1" ht="33" x14ac:dyDescent="0.35">
      <c r="A1692" s="605"/>
      <c r="B1692" s="541"/>
      <c r="C1692" s="454" t="s">
        <v>26</v>
      </c>
      <c r="D1692" s="59" t="s">
        <v>232</v>
      </c>
      <c r="E1692" s="454"/>
      <c r="F1692" s="454"/>
      <c r="G1692" s="454"/>
      <c r="H1692" s="35"/>
      <c r="I1692" s="35"/>
      <c r="J1692" s="454" t="str">
        <f>C1692</f>
        <v>II</v>
      </c>
      <c r="K1692" s="488" t="str">
        <f>D1692</f>
        <v>Реализация адаптированных дополнительных общеобразовательных программ</v>
      </c>
      <c r="L1692" s="454"/>
      <c r="M1692" s="454"/>
      <c r="N1692" s="454"/>
      <c r="O1692" s="35"/>
      <c r="P1692" s="468"/>
      <c r="Q1692" s="35"/>
      <c r="R1692" s="454"/>
      <c r="S1692" s="557"/>
      <c r="T1692" s="2"/>
    </row>
    <row r="1693" spans="1:21" s="1" customFormat="1" ht="60" customHeight="1" x14ac:dyDescent="0.35">
      <c r="A1693" s="605"/>
      <c r="B1693" s="541"/>
      <c r="C1693" s="19" t="s">
        <v>28</v>
      </c>
      <c r="D1693" s="41" t="s">
        <v>233</v>
      </c>
      <c r="E1693" s="19" t="s">
        <v>18</v>
      </c>
      <c r="F1693" s="19">
        <v>100</v>
      </c>
      <c r="G1693" s="19">
        <v>99.2</v>
      </c>
      <c r="H1693" s="24">
        <f>IF(G1693/F1693*100&gt;100,100,G1693/F1693*100)</f>
        <v>99.2</v>
      </c>
      <c r="I1693" s="19"/>
      <c r="J1693" s="19" t="s">
        <v>28</v>
      </c>
      <c r="K1693" s="455" t="s">
        <v>225</v>
      </c>
      <c r="L1693" s="19" t="s">
        <v>158</v>
      </c>
      <c r="M1693" s="19">
        <v>1152</v>
      </c>
      <c r="N1693" s="19">
        <v>1107</v>
      </c>
      <c r="O1693" s="24">
        <f>IF(N1693/M1693*100&gt;110,110,N1693/M1693*100)</f>
        <v>96.09375</v>
      </c>
      <c r="P1693" s="468"/>
      <c r="Q1693" s="35"/>
      <c r="R1693" s="19"/>
      <c r="S1693" s="557"/>
      <c r="T1693" s="2"/>
    </row>
    <row r="1694" spans="1:21" s="1" customFormat="1" ht="44.25" customHeight="1" x14ac:dyDescent="0.35">
      <c r="A1694" s="605"/>
      <c r="B1694" s="541"/>
      <c r="C1694" s="128"/>
      <c r="D1694" s="466" t="s">
        <v>644</v>
      </c>
      <c r="E1694" s="20"/>
      <c r="F1694" s="127"/>
      <c r="G1694" s="126"/>
      <c r="H1694" s="18"/>
      <c r="I1694" s="18">
        <f>H1693</f>
        <v>99.2</v>
      </c>
      <c r="J1694" s="20"/>
      <c r="K1694" s="466" t="s">
        <v>644</v>
      </c>
      <c r="L1694" s="20"/>
      <c r="M1694" s="124"/>
      <c r="N1694" s="124"/>
      <c r="O1694" s="18"/>
      <c r="P1694" s="18">
        <f>O1693</f>
        <v>96.09375</v>
      </c>
      <c r="Q1694" s="18">
        <f>(I1694+P1694)/2</f>
        <v>97.646874999999994</v>
      </c>
      <c r="R1694" s="465" t="s">
        <v>112</v>
      </c>
      <c r="S1694" s="557"/>
      <c r="T1694" s="2"/>
      <c r="U1694" s="3"/>
    </row>
    <row r="1695" spans="1:21" s="1" customFormat="1" ht="54" customHeight="1" x14ac:dyDescent="0.35">
      <c r="A1695" s="605"/>
      <c r="B1695" s="541"/>
      <c r="C1695" s="454" t="s">
        <v>36</v>
      </c>
      <c r="D1695" s="59" t="s">
        <v>211</v>
      </c>
      <c r="E1695" s="19"/>
      <c r="F1695" s="19"/>
      <c r="G1695" s="19"/>
      <c r="H1695" s="35"/>
      <c r="I1695" s="35"/>
      <c r="J1695" s="454" t="s">
        <v>36</v>
      </c>
      <c r="K1695" s="59" t="str">
        <f>D1695</f>
        <v>Организация и проведение культурно-массовых мероприятий</v>
      </c>
      <c r="L1695" s="19"/>
      <c r="M1695" s="19"/>
      <c r="N1695" s="19"/>
      <c r="O1695" s="35"/>
      <c r="P1695" s="35"/>
      <c r="Q1695" s="35"/>
      <c r="R1695" s="19"/>
      <c r="S1695" s="557"/>
      <c r="T1695" s="2"/>
    </row>
    <row r="1696" spans="1:21" s="1" customFormat="1" ht="42" customHeight="1" x14ac:dyDescent="0.35">
      <c r="A1696" s="605"/>
      <c r="B1696" s="541"/>
      <c r="C1696" s="19" t="s">
        <v>38</v>
      </c>
      <c r="D1696" s="41" t="s">
        <v>212</v>
      </c>
      <c r="E1696" s="19"/>
      <c r="F1696" s="19"/>
      <c r="G1696" s="19"/>
      <c r="H1696" s="24"/>
      <c r="I1696" s="19"/>
      <c r="J1696" s="19" t="s">
        <v>38</v>
      </c>
      <c r="K1696" s="41" t="s">
        <v>213</v>
      </c>
      <c r="L1696" s="19"/>
      <c r="M1696" s="19"/>
      <c r="N1696" s="19"/>
      <c r="O1696" s="24"/>
      <c r="P1696" s="19"/>
      <c r="Q1696" s="35"/>
      <c r="R1696" s="19"/>
      <c r="S1696" s="557"/>
      <c r="T1696" s="2"/>
    </row>
    <row r="1697" spans="1:21" s="1" customFormat="1" ht="46.5" customHeight="1" x14ac:dyDescent="0.35">
      <c r="A1697" s="605"/>
      <c r="B1697" s="541"/>
      <c r="C1697" s="19" t="s">
        <v>234</v>
      </c>
      <c r="D1697" s="41" t="s">
        <v>215</v>
      </c>
      <c r="E1697" s="19" t="s">
        <v>18</v>
      </c>
      <c r="F1697" s="19">
        <v>100</v>
      </c>
      <c r="G1697" s="19">
        <v>100</v>
      </c>
      <c r="H1697" s="24">
        <f>IF(G1697/F1697*100&gt;100,100,G1697/F1697*100)</f>
        <v>100</v>
      </c>
      <c r="I1697" s="19"/>
      <c r="J1697" s="19" t="s">
        <v>234</v>
      </c>
      <c r="K1697" s="41" t="str">
        <f>D1697</f>
        <v>творческие (фестивали, выставки, конкурсы, смотры)</v>
      </c>
      <c r="L1697" s="19" t="s">
        <v>216</v>
      </c>
      <c r="M1697" s="19">
        <v>11</v>
      </c>
      <c r="N1697" s="19">
        <v>11</v>
      </c>
      <c r="O1697" s="24">
        <f>IF(N1697/M1697*100&gt;110,110,N1697/M1697*100)</f>
        <v>100</v>
      </c>
      <c r="P1697" s="19"/>
      <c r="Q1697" s="35"/>
      <c r="R1697" s="19"/>
      <c r="S1697" s="557"/>
      <c r="T1697" s="2"/>
    </row>
    <row r="1698" spans="1:21" s="1" customFormat="1" ht="46.5" customHeight="1" x14ac:dyDescent="0.35">
      <c r="A1698" s="605"/>
      <c r="B1698" s="541"/>
      <c r="C1698" s="19" t="s">
        <v>235</v>
      </c>
      <c r="D1698" s="41" t="s">
        <v>218</v>
      </c>
      <c r="E1698" s="19" t="s">
        <v>18</v>
      </c>
      <c r="F1698" s="19">
        <v>100</v>
      </c>
      <c r="G1698" s="19">
        <v>100</v>
      </c>
      <c r="H1698" s="24">
        <f>IF(G1698/F1698*100&gt;100,100,G1698/F1698*100)</f>
        <v>100</v>
      </c>
      <c r="I1698" s="19"/>
      <c r="J1698" s="19" t="s">
        <v>235</v>
      </c>
      <c r="K1698" s="41" t="str">
        <f>D1698</f>
        <v>культурно-массовые (иные зрелищные мероприятия)</v>
      </c>
      <c r="L1698" s="19" t="s">
        <v>216</v>
      </c>
      <c r="M1698" s="19">
        <v>14</v>
      </c>
      <c r="N1698" s="19">
        <v>14</v>
      </c>
      <c r="O1698" s="24">
        <f>IF(N1698/M1698*100&gt;110,110,N1698/M1698*100)</f>
        <v>100</v>
      </c>
      <c r="P1698" s="19"/>
      <c r="Q1698" s="35"/>
      <c r="R1698" s="19"/>
      <c r="S1698" s="557"/>
      <c r="T1698" s="2"/>
    </row>
    <row r="1699" spans="1:21" s="1" customFormat="1" ht="42" customHeight="1" x14ac:dyDescent="0.35">
      <c r="A1699" s="605"/>
      <c r="B1699" s="541"/>
      <c r="C1699" s="19" t="s">
        <v>236</v>
      </c>
      <c r="D1699" s="41" t="s">
        <v>237</v>
      </c>
      <c r="E1699" s="19" t="s">
        <v>18</v>
      </c>
      <c r="F1699" s="19">
        <v>100</v>
      </c>
      <c r="G1699" s="19">
        <v>100</v>
      </c>
      <c r="H1699" s="24">
        <f>IF(G1699/F1699*100&gt;100,100,G1699/F1699*100)</f>
        <v>100</v>
      </c>
      <c r="I1699" s="19"/>
      <c r="J1699" s="19" t="s">
        <v>236</v>
      </c>
      <c r="K1699" s="41" t="str">
        <f>D1699</f>
        <v>мастер-классы</v>
      </c>
      <c r="L1699" s="19" t="s">
        <v>216</v>
      </c>
      <c r="M1699" s="19">
        <v>1</v>
      </c>
      <c r="N1699" s="19">
        <v>1</v>
      </c>
      <c r="O1699" s="24">
        <f>IF(N1699/M1699*100&gt;110,110,N1699/M1699*100)</f>
        <v>100</v>
      </c>
      <c r="P1699" s="19"/>
      <c r="Q1699" s="35"/>
      <c r="R1699" s="19"/>
      <c r="S1699" s="557"/>
      <c r="T1699" s="2"/>
    </row>
    <row r="1700" spans="1:21" s="1" customFormat="1" ht="42" customHeight="1" x14ac:dyDescent="0.35">
      <c r="A1700" s="605"/>
      <c r="B1700" s="541"/>
      <c r="C1700" s="19" t="s">
        <v>238</v>
      </c>
      <c r="D1700" s="41" t="s">
        <v>220</v>
      </c>
      <c r="E1700" s="19" t="s">
        <v>18</v>
      </c>
      <c r="F1700" s="19">
        <v>100</v>
      </c>
      <c r="G1700" s="19">
        <v>100</v>
      </c>
      <c r="H1700" s="24">
        <f>IF(G1700/F1700*100&gt;100,100,G1700/F1700*100)</f>
        <v>100</v>
      </c>
      <c r="I1700" s="19"/>
      <c r="J1700" s="19" t="s">
        <v>238</v>
      </c>
      <c r="K1700" s="41" t="str">
        <f>D1700</f>
        <v>методические (семинар, конференция)</v>
      </c>
      <c r="L1700" s="19" t="s">
        <v>216</v>
      </c>
      <c r="M1700" s="19">
        <v>4</v>
      </c>
      <c r="N1700" s="19">
        <v>4</v>
      </c>
      <c r="O1700" s="24">
        <f>IF(N1700/M1700*100&gt;110,110,N1700/M1700*100)</f>
        <v>100</v>
      </c>
      <c r="P1700" s="19"/>
      <c r="Q1700" s="35"/>
      <c r="R1700" s="19"/>
      <c r="S1700" s="557"/>
      <c r="T1700" s="2"/>
    </row>
    <row r="1701" spans="1:21" s="1" customFormat="1" ht="56.25" customHeight="1" x14ac:dyDescent="0.35">
      <c r="A1701" s="605"/>
      <c r="B1701" s="541"/>
      <c r="C1701" s="128"/>
      <c r="D1701" s="466" t="s">
        <v>644</v>
      </c>
      <c r="E1701" s="20"/>
      <c r="F1701" s="127"/>
      <c r="G1701" s="126"/>
      <c r="H1701" s="18"/>
      <c r="I1701" s="18">
        <f>(H1699+H1700+H1698+H1697)/4</f>
        <v>100</v>
      </c>
      <c r="J1701" s="20"/>
      <c r="K1701" s="466" t="s">
        <v>644</v>
      </c>
      <c r="L1701" s="20"/>
      <c r="M1701" s="124"/>
      <c r="N1701" s="124"/>
      <c r="O1701" s="18"/>
      <c r="P1701" s="18">
        <f>(O1700+O1699+O1698+O1697)/4</f>
        <v>100</v>
      </c>
      <c r="Q1701" s="18">
        <f>(I1701+P1701)/2</f>
        <v>100</v>
      </c>
      <c r="R1701" s="465" t="s">
        <v>25</v>
      </c>
      <c r="S1701" s="557"/>
      <c r="T1701" s="2"/>
      <c r="U1701" s="3"/>
    </row>
    <row r="1702" spans="1:21" s="1" customFormat="1" ht="82.5" customHeight="1" x14ac:dyDescent="0.35">
      <c r="A1702" s="605">
        <v>76</v>
      </c>
      <c r="B1702" s="541" t="s">
        <v>239</v>
      </c>
      <c r="C1702" s="454" t="s">
        <v>13</v>
      </c>
      <c r="D1702" s="59" t="s">
        <v>130</v>
      </c>
      <c r="E1702" s="454"/>
      <c r="F1702" s="454"/>
      <c r="G1702" s="454"/>
      <c r="H1702" s="35"/>
      <c r="I1702" s="35"/>
      <c r="J1702" s="454" t="s">
        <v>13</v>
      </c>
      <c r="K1702" s="59" t="s">
        <v>130</v>
      </c>
      <c r="L1702" s="19"/>
      <c r="M1702" s="19"/>
      <c r="N1702" s="19"/>
      <c r="O1702" s="35"/>
      <c r="P1702" s="35"/>
      <c r="Q1702" s="35"/>
      <c r="R1702" s="19"/>
      <c r="S1702" s="557" t="s">
        <v>104</v>
      </c>
      <c r="T1702" s="2"/>
    </row>
    <row r="1703" spans="1:21" s="1" customFormat="1" ht="73.5" customHeight="1" x14ac:dyDescent="0.35">
      <c r="A1703" s="605"/>
      <c r="B1703" s="541"/>
      <c r="C1703" s="19" t="s">
        <v>16</v>
      </c>
      <c r="D1703" s="41" t="s">
        <v>208</v>
      </c>
      <c r="E1703" s="19" t="s">
        <v>18</v>
      </c>
      <c r="F1703" s="19">
        <v>100</v>
      </c>
      <c r="G1703" s="19">
        <v>99</v>
      </c>
      <c r="H1703" s="24">
        <f>IF(G1703/F1703*100&gt;100,100,G1703/F1703*100)</f>
        <v>99</v>
      </c>
      <c r="I1703" s="19"/>
      <c r="J1703" s="19" t="s">
        <v>16</v>
      </c>
      <c r="K1703" s="455" t="s">
        <v>223</v>
      </c>
      <c r="L1703" s="19" t="s">
        <v>158</v>
      </c>
      <c r="M1703" s="19"/>
      <c r="N1703" s="19"/>
      <c r="O1703" s="24"/>
      <c r="P1703" s="468"/>
      <c r="Q1703" s="35"/>
      <c r="R1703" s="19"/>
      <c r="S1703" s="557"/>
      <c r="T1703" s="2"/>
    </row>
    <row r="1704" spans="1:21" s="1" customFormat="1" ht="78" customHeight="1" x14ac:dyDescent="0.35">
      <c r="A1704" s="605"/>
      <c r="B1704" s="541"/>
      <c r="C1704" s="19"/>
      <c r="D1704" s="41"/>
      <c r="E1704" s="19"/>
      <c r="F1704" s="477"/>
      <c r="G1704" s="477"/>
      <c r="H1704" s="24"/>
      <c r="I1704" s="19"/>
      <c r="J1704" s="19" t="s">
        <v>224</v>
      </c>
      <c r="K1704" s="455" t="s">
        <v>225</v>
      </c>
      <c r="L1704" s="19" t="s">
        <v>158</v>
      </c>
      <c r="M1704" s="19">
        <v>35456</v>
      </c>
      <c r="N1704" s="19">
        <v>37896</v>
      </c>
      <c r="O1704" s="24">
        <f>IF(N1704/M1704*100&gt;110,110,N1704/M1704*100)</f>
        <v>106.8817689530686</v>
      </c>
      <c r="P1704" s="468"/>
      <c r="Q1704" s="35"/>
      <c r="R1704" s="19"/>
      <c r="S1704" s="557"/>
      <c r="T1704" s="2"/>
    </row>
    <row r="1705" spans="1:21" s="1" customFormat="1" ht="69" customHeight="1" x14ac:dyDescent="0.35">
      <c r="A1705" s="605"/>
      <c r="B1705" s="541"/>
      <c r="C1705" s="19"/>
      <c r="D1705" s="41"/>
      <c r="E1705" s="19"/>
      <c r="F1705" s="19"/>
      <c r="G1705" s="19"/>
      <c r="H1705" s="24"/>
      <c r="I1705" s="19"/>
      <c r="J1705" s="19" t="s">
        <v>226</v>
      </c>
      <c r="K1705" s="455" t="s">
        <v>227</v>
      </c>
      <c r="L1705" s="19" t="s">
        <v>158</v>
      </c>
      <c r="M1705" s="19">
        <v>218015</v>
      </c>
      <c r="N1705" s="19">
        <v>220639</v>
      </c>
      <c r="O1705" s="24">
        <f>IF(N1705/M1705*100&gt;110,110,N1705/M1705*100)</f>
        <v>101.20358690915762</v>
      </c>
      <c r="P1705" s="468"/>
      <c r="Q1705" s="35"/>
      <c r="R1705" s="19"/>
      <c r="S1705" s="557"/>
      <c r="T1705" s="2"/>
    </row>
    <row r="1706" spans="1:21" s="1" customFormat="1" ht="63" customHeight="1" x14ac:dyDescent="0.35">
      <c r="A1706" s="605"/>
      <c r="B1706" s="541"/>
      <c r="C1706" s="19"/>
      <c r="D1706" s="41"/>
      <c r="E1706" s="19"/>
      <c r="F1706" s="19"/>
      <c r="G1706" s="19"/>
      <c r="H1706" s="24"/>
      <c r="I1706" s="19"/>
      <c r="J1706" s="19" t="s">
        <v>228</v>
      </c>
      <c r="K1706" s="455" t="s">
        <v>229</v>
      </c>
      <c r="L1706" s="19" t="s">
        <v>158</v>
      </c>
      <c r="M1706" s="19">
        <v>14646</v>
      </c>
      <c r="N1706" s="19">
        <v>14588</v>
      </c>
      <c r="O1706" s="24">
        <f>IF(N1706/M1706*100&gt;110,110,N1706/M1706*100)</f>
        <v>99.603987436842829</v>
      </c>
      <c r="P1706" s="468"/>
      <c r="Q1706" s="35"/>
      <c r="R1706" s="19"/>
      <c r="S1706" s="557"/>
      <c r="T1706" s="2"/>
    </row>
    <row r="1707" spans="1:21" s="1" customFormat="1" ht="73.5" customHeight="1" x14ac:dyDescent="0.35">
      <c r="A1707" s="605"/>
      <c r="B1707" s="541"/>
      <c r="C1707" s="19"/>
      <c r="D1707" s="41"/>
      <c r="E1707" s="19"/>
      <c r="F1707" s="19"/>
      <c r="G1707" s="19"/>
      <c r="H1707" s="24"/>
      <c r="I1707" s="19"/>
      <c r="J1707" s="19" t="s">
        <v>230</v>
      </c>
      <c r="K1707" s="455" t="s">
        <v>231</v>
      </c>
      <c r="L1707" s="19" t="s">
        <v>158</v>
      </c>
      <c r="M1707" s="19">
        <v>15700</v>
      </c>
      <c r="N1707" s="19">
        <v>16572</v>
      </c>
      <c r="O1707" s="24">
        <f>IF(N1707/M1707*100&gt;110,110,N1707/M1707*100)</f>
        <v>105.55414012738854</v>
      </c>
      <c r="P1707" s="468"/>
      <c r="Q1707" s="35"/>
      <c r="R1707" s="19"/>
      <c r="S1707" s="557"/>
      <c r="T1707" s="2"/>
    </row>
    <row r="1708" spans="1:21" s="1" customFormat="1" ht="42" customHeight="1" x14ac:dyDescent="0.35">
      <c r="A1708" s="605"/>
      <c r="B1708" s="541"/>
      <c r="C1708" s="128"/>
      <c r="D1708" s="466" t="s">
        <v>644</v>
      </c>
      <c r="E1708" s="20"/>
      <c r="F1708" s="127"/>
      <c r="G1708" s="126"/>
      <c r="H1708" s="18"/>
      <c r="I1708" s="18">
        <f>H1703</f>
        <v>99</v>
      </c>
      <c r="J1708" s="20"/>
      <c r="K1708" s="466" t="s">
        <v>644</v>
      </c>
      <c r="L1708" s="20"/>
      <c r="M1708" s="124"/>
      <c r="N1708" s="124"/>
      <c r="O1708" s="18"/>
      <c r="P1708" s="18">
        <f>(O1707+O1706+O1705+O1704)/4</f>
        <v>103.3108708566144</v>
      </c>
      <c r="Q1708" s="18">
        <f>(I1708+P1708)/2</f>
        <v>101.1554354283072</v>
      </c>
      <c r="R1708" s="465" t="s">
        <v>25</v>
      </c>
      <c r="S1708" s="557"/>
      <c r="T1708" s="2"/>
      <c r="U1708" s="3"/>
    </row>
    <row r="1709" spans="1:21" s="1" customFormat="1" ht="51" customHeight="1" x14ac:dyDescent="0.35">
      <c r="A1709" s="605"/>
      <c r="B1709" s="541"/>
      <c r="C1709" s="454" t="s">
        <v>26</v>
      </c>
      <c r="D1709" s="59" t="s">
        <v>211</v>
      </c>
      <c r="E1709" s="19"/>
      <c r="F1709" s="19"/>
      <c r="G1709" s="19"/>
      <c r="H1709" s="35"/>
      <c r="I1709" s="35"/>
      <c r="J1709" s="454" t="s">
        <v>26</v>
      </c>
      <c r="K1709" s="59" t="s">
        <v>211</v>
      </c>
      <c r="L1709" s="19"/>
      <c r="M1709" s="19"/>
      <c r="N1709" s="19"/>
      <c r="O1709" s="35"/>
      <c r="P1709" s="35"/>
      <c r="Q1709" s="35"/>
      <c r="R1709" s="19"/>
      <c r="S1709" s="557"/>
      <c r="T1709" s="2"/>
    </row>
    <row r="1710" spans="1:21" s="1" customFormat="1" ht="51" customHeight="1" x14ac:dyDescent="0.35">
      <c r="A1710" s="605"/>
      <c r="B1710" s="541"/>
      <c r="C1710" s="19" t="s">
        <v>28</v>
      </c>
      <c r="D1710" s="41" t="s">
        <v>212</v>
      </c>
      <c r="E1710" s="19"/>
      <c r="F1710" s="19"/>
      <c r="G1710" s="19"/>
      <c r="H1710" s="24"/>
      <c r="I1710" s="19"/>
      <c r="J1710" s="19" t="s">
        <v>28</v>
      </c>
      <c r="K1710" s="41" t="s">
        <v>213</v>
      </c>
      <c r="L1710" s="19"/>
      <c r="M1710" s="19"/>
      <c r="N1710" s="19"/>
      <c r="O1710" s="24"/>
      <c r="P1710" s="19"/>
      <c r="Q1710" s="35"/>
      <c r="R1710" s="19"/>
      <c r="S1710" s="557"/>
      <c r="T1710" s="2"/>
    </row>
    <row r="1711" spans="1:21" s="1" customFormat="1" ht="51" customHeight="1" x14ac:dyDescent="0.35">
      <c r="A1711" s="605"/>
      <c r="B1711" s="541"/>
      <c r="C1711" s="19" t="s">
        <v>214</v>
      </c>
      <c r="D1711" s="41" t="s">
        <v>215</v>
      </c>
      <c r="E1711" s="19" t="s">
        <v>18</v>
      </c>
      <c r="F1711" s="19">
        <v>100</v>
      </c>
      <c r="G1711" s="19">
        <v>100</v>
      </c>
      <c r="H1711" s="24">
        <f>IF(G1711/F1711*100&gt;100,100,G1711/F1711*100)</f>
        <v>100</v>
      </c>
      <c r="I1711" s="19"/>
      <c r="J1711" s="19" t="s">
        <v>214</v>
      </c>
      <c r="K1711" s="41" t="str">
        <f>D1711</f>
        <v>творческие (фестивали, выставки, конкурсы, смотры)</v>
      </c>
      <c r="L1711" s="19" t="s">
        <v>216</v>
      </c>
      <c r="M1711" s="19">
        <v>35</v>
      </c>
      <c r="N1711" s="19">
        <v>35</v>
      </c>
      <c r="O1711" s="24">
        <f>IF(N1711/M1711*100&gt;110,110,N1711/M1711*100)</f>
        <v>100</v>
      </c>
      <c r="P1711" s="19"/>
      <c r="Q1711" s="35"/>
      <c r="R1711" s="19"/>
      <c r="S1711" s="557"/>
      <c r="T1711" s="2"/>
    </row>
    <row r="1712" spans="1:21" s="1" customFormat="1" ht="51" customHeight="1" x14ac:dyDescent="0.35">
      <c r="A1712" s="605"/>
      <c r="B1712" s="541"/>
      <c r="C1712" s="19" t="s">
        <v>217</v>
      </c>
      <c r="D1712" s="41" t="s">
        <v>218</v>
      </c>
      <c r="E1712" s="19" t="s">
        <v>18</v>
      </c>
      <c r="F1712" s="19">
        <v>100</v>
      </c>
      <c r="G1712" s="19">
        <v>100</v>
      </c>
      <c r="H1712" s="24">
        <f>IF(G1712/F1712*100&gt;100,100,G1712/F1712*100)</f>
        <v>100</v>
      </c>
      <c r="I1712" s="19"/>
      <c r="J1712" s="19" t="s">
        <v>217</v>
      </c>
      <c r="K1712" s="41" t="str">
        <f>D1712</f>
        <v>культурно-массовые (иные зрелищные мероприятия)</v>
      </c>
      <c r="L1712" s="19" t="s">
        <v>216</v>
      </c>
      <c r="M1712" s="19">
        <v>22</v>
      </c>
      <c r="N1712" s="19">
        <v>22</v>
      </c>
      <c r="O1712" s="24">
        <f>IF(N1712/M1712*100&gt;110,110,N1712/M1712*100)</f>
        <v>100</v>
      </c>
      <c r="P1712" s="19"/>
      <c r="Q1712" s="35"/>
      <c r="R1712" s="19"/>
      <c r="S1712" s="557"/>
      <c r="T1712" s="2"/>
    </row>
    <row r="1713" spans="1:33" s="1" customFormat="1" ht="51" customHeight="1" x14ac:dyDescent="0.35">
      <c r="A1713" s="605"/>
      <c r="B1713" s="541"/>
      <c r="C1713" s="129" t="s">
        <v>219</v>
      </c>
      <c r="D1713" s="41" t="s">
        <v>237</v>
      </c>
      <c r="E1713" s="19" t="s">
        <v>18</v>
      </c>
      <c r="F1713" s="19">
        <v>100</v>
      </c>
      <c r="G1713" s="19">
        <v>100</v>
      </c>
      <c r="H1713" s="24">
        <f>IF(G1713/F1713*100&gt;100,100,G1713/F1713*100)</f>
        <v>100</v>
      </c>
      <c r="I1713" s="19"/>
      <c r="J1713" s="129" t="s">
        <v>219</v>
      </c>
      <c r="K1713" s="41" t="str">
        <f>D1713</f>
        <v>мастер-классы</v>
      </c>
      <c r="L1713" s="19" t="s">
        <v>216</v>
      </c>
      <c r="M1713" s="19">
        <v>3</v>
      </c>
      <c r="N1713" s="19">
        <v>3</v>
      </c>
      <c r="O1713" s="24">
        <f>IF(N1713/M1713*100&gt;110,110,N1713/M1713*100)</f>
        <v>100</v>
      </c>
      <c r="P1713" s="19"/>
      <c r="Q1713" s="35"/>
      <c r="R1713" s="19"/>
      <c r="S1713" s="557"/>
      <c r="T1713" s="2"/>
    </row>
    <row r="1714" spans="1:33" s="1" customFormat="1" ht="51" customHeight="1" x14ac:dyDescent="0.35">
      <c r="A1714" s="605"/>
      <c r="B1714" s="541"/>
      <c r="C1714" s="19" t="s">
        <v>240</v>
      </c>
      <c r="D1714" s="41" t="s">
        <v>220</v>
      </c>
      <c r="E1714" s="19" t="s">
        <v>18</v>
      </c>
      <c r="F1714" s="19">
        <v>100</v>
      </c>
      <c r="G1714" s="19">
        <v>100</v>
      </c>
      <c r="H1714" s="24">
        <f>IF(G1714/F1714*100&gt;100,100,G1714/F1714*100)</f>
        <v>100</v>
      </c>
      <c r="I1714" s="19"/>
      <c r="J1714" s="19" t="s">
        <v>240</v>
      </c>
      <c r="K1714" s="41" t="str">
        <f>D1714</f>
        <v>методические (семинар, конференция)</v>
      </c>
      <c r="L1714" s="19" t="s">
        <v>216</v>
      </c>
      <c r="M1714" s="19">
        <v>3</v>
      </c>
      <c r="N1714" s="19">
        <v>3</v>
      </c>
      <c r="O1714" s="24">
        <f>IF(N1714/M1714*100&gt;110,110,N1714/M1714*100)</f>
        <v>100</v>
      </c>
      <c r="P1714" s="19"/>
      <c r="Q1714" s="35"/>
      <c r="R1714" s="19"/>
      <c r="S1714" s="557"/>
      <c r="T1714" s="2"/>
    </row>
    <row r="1715" spans="1:33" s="1" customFormat="1" ht="42" customHeight="1" x14ac:dyDescent="0.35">
      <c r="A1715" s="605"/>
      <c r="B1715" s="541"/>
      <c r="C1715" s="128"/>
      <c r="D1715" s="466" t="s">
        <v>644</v>
      </c>
      <c r="E1715" s="20"/>
      <c r="F1715" s="127"/>
      <c r="G1715" s="126"/>
      <c r="H1715" s="18"/>
      <c r="I1715" s="18">
        <f>(H1712+H1711+H1713+H1714)/4</f>
        <v>100</v>
      </c>
      <c r="J1715" s="20"/>
      <c r="K1715" s="466" t="s">
        <v>644</v>
      </c>
      <c r="L1715" s="20"/>
      <c r="M1715" s="124"/>
      <c r="N1715" s="124"/>
      <c r="O1715" s="18"/>
      <c r="P1715" s="18">
        <f>(O1714+O1713+O1712+O1711)/4</f>
        <v>100</v>
      </c>
      <c r="Q1715" s="18">
        <f>(I1715+P1715)/2</f>
        <v>100</v>
      </c>
      <c r="R1715" s="465" t="s">
        <v>25</v>
      </c>
      <c r="S1715" s="557"/>
      <c r="T1715" s="2"/>
    </row>
    <row r="1716" spans="1:33" s="1" customFormat="1" ht="33" x14ac:dyDescent="0.35">
      <c r="A1716" s="605"/>
      <c r="B1716" s="541"/>
      <c r="C1716" s="454" t="s">
        <v>36</v>
      </c>
      <c r="D1716" s="59" t="s">
        <v>241</v>
      </c>
      <c r="E1716" s="19"/>
      <c r="F1716" s="19"/>
      <c r="G1716" s="19"/>
      <c r="H1716" s="35"/>
      <c r="I1716" s="35"/>
      <c r="J1716" s="454" t="str">
        <f>C1716</f>
        <v>III</v>
      </c>
      <c r="K1716" s="59" t="str">
        <f>D1716</f>
        <v>Реализация адаптированных дополнительных образовательных программ</v>
      </c>
      <c r="L1716" s="19"/>
      <c r="M1716" s="19"/>
      <c r="N1716" s="19"/>
      <c r="O1716" s="35"/>
      <c r="P1716" s="35"/>
      <c r="Q1716" s="35"/>
      <c r="R1716" s="19"/>
      <c r="S1716" s="557"/>
      <c r="T1716" s="2"/>
    </row>
    <row r="1717" spans="1:33" s="1" customFormat="1" ht="51" customHeight="1" x14ac:dyDescent="0.35">
      <c r="A1717" s="605"/>
      <c r="B1717" s="541"/>
      <c r="C1717" s="489" t="s">
        <v>38</v>
      </c>
      <c r="D1717" s="41" t="s">
        <v>233</v>
      </c>
      <c r="E1717" s="19" t="s">
        <v>18</v>
      </c>
      <c r="F1717" s="19">
        <v>100</v>
      </c>
      <c r="G1717" s="19">
        <v>99</v>
      </c>
      <c r="H1717" s="24">
        <f>IF(G1717/F1717*100&gt;100,100,G1717/F1717*100)</f>
        <v>99</v>
      </c>
      <c r="I1717" s="19"/>
      <c r="J1717" s="19" t="s">
        <v>38</v>
      </c>
      <c r="K1717" s="41" t="s">
        <v>242</v>
      </c>
      <c r="L1717" s="19" t="s">
        <v>158</v>
      </c>
      <c r="M1717" s="19">
        <v>244</v>
      </c>
      <c r="N1717" s="19">
        <v>244</v>
      </c>
      <c r="O1717" s="24">
        <f>IF(N1717/M1717*100&gt;110,110,N1717/M1717*100)</f>
        <v>100</v>
      </c>
      <c r="P1717" s="19"/>
      <c r="Q1717" s="35"/>
      <c r="R1717" s="19"/>
      <c r="S1717" s="557"/>
      <c r="T1717" s="2"/>
    </row>
    <row r="1718" spans="1:33" s="1" customFormat="1" ht="59.25" customHeight="1" x14ac:dyDescent="0.35">
      <c r="A1718" s="605"/>
      <c r="B1718" s="541"/>
      <c r="C1718" s="465"/>
      <c r="D1718" s="466" t="s">
        <v>644</v>
      </c>
      <c r="E1718" s="465"/>
      <c r="F1718" s="20"/>
      <c r="G1718" s="20"/>
      <c r="H1718" s="18"/>
      <c r="I1718" s="18">
        <f>H1717</f>
        <v>99</v>
      </c>
      <c r="J1718" s="128"/>
      <c r="K1718" s="466" t="s">
        <v>644</v>
      </c>
      <c r="L1718" s="20"/>
      <c r="M1718" s="124"/>
      <c r="N1718" s="124"/>
      <c r="O1718" s="18"/>
      <c r="P1718" s="18">
        <f>O1717</f>
        <v>100</v>
      </c>
      <c r="Q1718" s="18">
        <f>(I1718+P1718)/2</f>
        <v>99.5</v>
      </c>
      <c r="R1718" s="465" t="s">
        <v>112</v>
      </c>
      <c r="S1718" s="557"/>
      <c r="T1718" s="2"/>
      <c r="V1718" s="2"/>
      <c r="W1718" s="2"/>
      <c r="X1718" s="2"/>
      <c r="Y1718" s="2"/>
      <c r="Z1718" s="2"/>
      <c r="AA1718" s="2"/>
      <c r="AB1718" s="2"/>
      <c r="AC1718" s="2"/>
      <c r="AD1718" s="2"/>
      <c r="AE1718" s="2"/>
      <c r="AF1718" s="2"/>
      <c r="AG1718" s="2"/>
    </row>
    <row r="1719" spans="1:33" s="1" customFormat="1" ht="97.5" customHeight="1" x14ac:dyDescent="0.35">
      <c r="A1719" s="605">
        <v>77</v>
      </c>
      <c r="B1719" s="541" t="s">
        <v>243</v>
      </c>
      <c r="C1719" s="454" t="s">
        <v>13</v>
      </c>
      <c r="D1719" s="59" t="s">
        <v>130</v>
      </c>
      <c r="E1719" s="454"/>
      <c r="F1719" s="454"/>
      <c r="G1719" s="454"/>
      <c r="H1719" s="35"/>
      <c r="I1719" s="35"/>
      <c r="J1719" s="454" t="s">
        <v>13</v>
      </c>
      <c r="K1719" s="59" t="s">
        <v>130</v>
      </c>
      <c r="L1719" s="19"/>
      <c r="M1719" s="19"/>
      <c r="N1719" s="19"/>
      <c r="O1719" s="35"/>
      <c r="P1719" s="35"/>
      <c r="Q1719" s="35"/>
      <c r="R1719" s="19"/>
      <c r="S1719" s="557" t="s">
        <v>104</v>
      </c>
      <c r="T1719" s="2"/>
    </row>
    <row r="1720" spans="1:33" s="1" customFormat="1" ht="72" customHeight="1" x14ac:dyDescent="0.35">
      <c r="A1720" s="605"/>
      <c r="B1720" s="541"/>
      <c r="C1720" s="19" t="s">
        <v>16</v>
      </c>
      <c r="D1720" s="41" t="s">
        <v>208</v>
      </c>
      <c r="E1720" s="19" t="s">
        <v>18</v>
      </c>
      <c r="F1720" s="19">
        <v>90</v>
      </c>
      <c r="G1720" s="19">
        <v>98.8</v>
      </c>
      <c r="H1720" s="24">
        <f>IF(G1720/F1720*100&gt;100,100,G1720/F1720*100)</f>
        <v>100</v>
      </c>
      <c r="I1720" s="19"/>
      <c r="J1720" s="19" t="s">
        <v>16</v>
      </c>
      <c r="K1720" s="455" t="s">
        <v>223</v>
      </c>
      <c r="L1720" s="19" t="s">
        <v>158</v>
      </c>
      <c r="M1720" s="19"/>
      <c r="N1720" s="19"/>
      <c r="O1720" s="24"/>
      <c r="P1720" s="468"/>
      <c r="Q1720" s="35"/>
      <c r="R1720" s="19"/>
      <c r="S1720" s="557"/>
      <c r="T1720" s="2"/>
    </row>
    <row r="1721" spans="1:33" s="1" customFormat="1" ht="60" customHeight="1" x14ac:dyDescent="0.35">
      <c r="A1721" s="605"/>
      <c r="B1721" s="541"/>
      <c r="C1721" s="19"/>
      <c r="D1721" s="41"/>
      <c r="E1721" s="19"/>
      <c r="F1721" s="477"/>
      <c r="G1721" s="477"/>
      <c r="H1721" s="24"/>
      <c r="I1721" s="19"/>
      <c r="J1721" s="19" t="s">
        <v>224</v>
      </c>
      <c r="K1721" s="455" t="s">
        <v>244</v>
      </c>
      <c r="L1721" s="19" t="s">
        <v>158</v>
      </c>
      <c r="M1721" s="19" t="s">
        <v>245</v>
      </c>
      <c r="N1721" s="19" t="s">
        <v>245</v>
      </c>
      <c r="O1721" s="19" t="s">
        <v>245</v>
      </c>
      <c r="P1721" s="468"/>
      <c r="Q1721" s="35"/>
      <c r="R1721" s="19"/>
      <c r="S1721" s="557"/>
      <c r="T1721" s="2"/>
    </row>
    <row r="1722" spans="1:33" s="1" customFormat="1" x14ac:dyDescent="0.35">
      <c r="A1722" s="605"/>
      <c r="B1722" s="541"/>
      <c r="C1722" s="19"/>
      <c r="D1722" s="490"/>
      <c r="E1722" s="19"/>
      <c r="F1722" s="19"/>
      <c r="G1722" s="19"/>
      <c r="H1722" s="24"/>
      <c r="I1722" s="491"/>
      <c r="J1722" s="19" t="s">
        <v>226</v>
      </c>
      <c r="K1722" s="455" t="s">
        <v>225</v>
      </c>
      <c r="L1722" s="19" t="s">
        <v>158</v>
      </c>
      <c r="M1722" s="19">
        <v>71982</v>
      </c>
      <c r="N1722" s="19">
        <v>73846</v>
      </c>
      <c r="O1722" s="24">
        <f>IF(N1722/M1722*100&gt;110,110,N1722/M1722*100)</f>
        <v>102.58953627295713</v>
      </c>
      <c r="P1722" s="468"/>
      <c r="Q1722" s="35"/>
      <c r="R1722" s="19"/>
      <c r="S1722" s="557"/>
      <c r="T1722" s="2"/>
    </row>
    <row r="1723" spans="1:33" s="1" customFormat="1" ht="27.75" customHeight="1" x14ac:dyDescent="0.35">
      <c r="A1723" s="605"/>
      <c r="B1723" s="541"/>
      <c r="C1723" s="19"/>
      <c r="D1723" s="41"/>
      <c r="E1723" s="19"/>
      <c r="F1723" s="19"/>
      <c r="G1723" s="19"/>
      <c r="H1723" s="24"/>
      <c r="I1723" s="19"/>
      <c r="J1723" s="19" t="s">
        <v>228</v>
      </c>
      <c r="K1723" s="455" t="s">
        <v>227</v>
      </c>
      <c r="L1723" s="19" t="s">
        <v>158</v>
      </c>
      <c r="M1723" s="19">
        <v>224686</v>
      </c>
      <c r="N1723" s="19">
        <v>233829</v>
      </c>
      <c r="O1723" s="24">
        <f>IF(N1723/M1723*100&gt;110,110,N1723/M1723*100)</f>
        <v>104.06923439822687</v>
      </c>
      <c r="P1723" s="468"/>
      <c r="Q1723" s="35"/>
      <c r="R1723" s="19"/>
      <c r="S1723" s="557"/>
      <c r="T1723" s="2"/>
    </row>
    <row r="1724" spans="1:33" s="1" customFormat="1" ht="27.75" customHeight="1" x14ac:dyDescent="0.35">
      <c r="A1724" s="605"/>
      <c r="B1724" s="541"/>
      <c r="C1724" s="19"/>
      <c r="D1724" s="41"/>
      <c r="E1724" s="19"/>
      <c r="F1724" s="19"/>
      <c r="G1724" s="19"/>
      <c r="H1724" s="24"/>
      <c r="I1724" s="19"/>
      <c r="J1724" s="19" t="s">
        <v>230</v>
      </c>
      <c r="K1724" s="455" t="s">
        <v>229</v>
      </c>
      <c r="L1724" s="19" t="s">
        <v>158</v>
      </c>
      <c r="M1724" s="19">
        <v>20960</v>
      </c>
      <c r="N1724" s="19">
        <v>21510</v>
      </c>
      <c r="O1724" s="24">
        <f>IF(N1724/M1724*100&gt;110,110,N1724/M1724*100)</f>
        <v>102.62404580152671</v>
      </c>
      <c r="P1724" s="468"/>
      <c r="Q1724" s="35"/>
      <c r="R1724" s="19"/>
      <c r="S1724" s="557"/>
      <c r="T1724" s="2"/>
    </row>
    <row r="1725" spans="1:33" s="1" customFormat="1" x14ac:dyDescent="0.35">
      <c r="A1725" s="605"/>
      <c r="B1725" s="541"/>
      <c r="C1725" s="19"/>
      <c r="D1725" s="41"/>
      <c r="E1725" s="19"/>
      <c r="F1725" s="19"/>
      <c r="G1725" s="19"/>
      <c r="H1725" s="24"/>
      <c r="I1725" s="19"/>
      <c r="J1725" s="19" t="s">
        <v>246</v>
      </c>
      <c r="K1725" s="455" t="s">
        <v>231</v>
      </c>
      <c r="L1725" s="19" t="s">
        <v>158</v>
      </c>
      <c r="M1725" s="19">
        <v>22684</v>
      </c>
      <c r="N1725" s="19">
        <v>23825</v>
      </c>
      <c r="O1725" s="24">
        <f>IF(N1725/M1725*100&gt;110,110,N1725/M1725*100)</f>
        <v>105.02997707635338</v>
      </c>
      <c r="P1725" s="468"/>
      <c r="Q1725" s="35"/>
      <c r="R1725" s="19"/>
      <c r="S1725" s="557"/>
      <c r="T1725" s="2"/>
    </row>
    <row r="1726" spans="1:33" s="1" customFormat="1" ht="42" customHeight="1" x14ac:dyDescent="0.35">
      <c r="A1726" s="605"/>
      <c r="B1726" s="541"/>
      <c r="C1726" s="128"/>
      <c r="D1726" s="466" t="s">
        <v>644</v>
      </c>
      <c r="E1726" s="20"/>
      <c r="F1726" s="127"/>
      <c r="G1726" s="126"/>
      <c r="H1726" s="18"/>
      <c r="I1726" s="18">
        <f>H1720</f>
        <v>100</v>
      </c>
      <c r="J1726" s="20"/>
      <c r="K1726" s="466" t="s">
        <v>644</v>
      </c>
      <c r="L1726" s="20"/>
      <c r="M1726" s="124"/>
      <c r="N1726" s="124"/>
      <c r="O1726" s="18"/>
      <c r="P1726" s="18">
        <f>(O1725+O1724+O1723+O1722)/4</f>
        <v>103.57819838726601</v>
      </c>
      <c r="Q1726" s="18">
        <f>(I1726+P1726)/2</f>
        <v>101.78909919363301</v>
      </c>
      <c r="R1726" s="465" t="s">
        <v>25</v>
      </c>
      <c r="S1726" s="557"/>
      <c r="T1726" s="2"/>
      <c r="U1726" s="3"/>
    </row>
    <row r="1727" spans="1:33" s="1" customFormat="1" ht="63.75" customHeight="1" x14ac:dyDescent="0.35">
      <c r="A1727" s="605"/>
      <c r="B1727" s="541"/>
      <c r="C1727" s="454" t="s">
        <v>26</v>
      </c>
      <c r="D1727" s="59" t="s">
        <v>247</v>
      </c>
      <c r="E1727" s="19"/>
      <c r="F1727" s="19"/>
      <c r="G1727" s="19"/>
      <c r="H1727" s="35"/>
      <c r="I1727" s="35"/>
      <c r="J1727" s="454" t="s">
        <v>26</v>
      </c>
      <c r="K1727" s="59" t="str">
        <f>D1727</f>
        <v>Организация и проведение культурно-массовых мероприятий (творческих)</v>
      </c>
      <c r="L1727" s="19"/>
      <c r="M1727" s="19"/>
      <c r="N1727" s="19"/>
      <c r="O1727" s="35"/>
      <c r="P1727" s="35"/>
      <c r="Q1727" s="35"/>
      <c r="R1727" s="19"/>
      <c r="S1727" s="557"/>
      <c r="T1727" s="2"/>
    </row>
    <row r="1728" spans="1:33" s="1" customFormat="1" ht="40.5" customHeight="1" x14ac:dyDescent="0.35">
      <c r="A1728" s="605"/>
      <c r="B1728" s="541"/>
      <c r="C1728" s="19" t="s">
        <v>28</v>
      </c>
      <c r="D1728" s="41" t="s">
        <v>212</v>
      </c>
      <c r="E1728" s="19"/>
      <c r="F1728" s="19"/>
      <c r="G1728" s="19"/>
      <c r="H1728" s="24"/>
      <c r="I1728" s="19"/>
      <c r="J1728" s="19" t="s">
        <v>28</v>
      </c>
      <c r="K1728" s="41" t="s">
        <v>213</v>
      </c>
      <c r="L1728" s="19"/>
      <c r="M1728" s="19"/>
      <c r="N1728" s="19"/>
      <c r="O1728" s="24"/>
      <c r="P1728" s="19"/>
      <c r="Q1728" s="35"/>
      <c r="R1728" s="19"/>
      <c r="S1728" s="557"/>
      <c r="T1728" s="2"/>
    </row>
    <row r="1729" spans="1:21" s="1" customFormat="1" ht="54" customHeight="1" x14ac:dyDescent="0.35">
      <c r="A1729" s="605"/>
      <c r="B1729" s="541"/>
      <c r="C1729" s="19" t="s">
        <v>214</v>
      </c>
      <c r="D1729" s="41" t="s">
        <v>215</v>
      </c>
      <c r="E1729" s="19" t="s">
        <v>18</v>
      </c>
      <c r="F1729" s="19">
        <v>100</v>
      </c>
      <c r="G1729" s="19">
        <v>100</v>
      </c>
      <c r="H1729" s="24">
        <f>IF(G1729/F1729*100&gt;100,100,G1729/F1729*100)</f>
        <v>100</v>
      </c>
      <c r="I1729" s="19"/>
      <c r="J1729" s="19" t="s">
        <v>214</v>
      </c>
      <c r="K1729" s="41" t="s">
        <v>248</v>
      </c>
      <c r="L1729" s="19" t="s">
        <v>216</v>
      </c>
      <c r="M1729" s="19">
        <v>8</v>
      </c>
      <c r="N1729" s="19">
        <v>8</v>
      </c>
      <c r="O1729" s="24">
        <f>IF(N1729/M1729*100&gt;110,110,N1729/M1729*100)</f>
        <v>100</v>
      </c>
      <c r="P1729" s="19"/>
      <c r="Q1729" s="35"/>
      <c r="R1729" s="19"/>
      <c r="S1729" s="557"/>
      <c r="T1729" s="2"/>
    </row>
    <row r="1730" spans="1:21" s="1" customFormat="1" ht="84.75" customHeight="1" x14ac:dyDescent="0.35">
      <c r="A1730" s="605"/>
      <c r="B1730" s="541"/>
      <c r="C1730" s="19" t="s">
        <v>217</v>
      </c>
      <c r="D1730" s="41" t="s">
        <v>249</v>
      </c>
      <c r="E1730" s="19" t="s">
        <v>18</v>
      </c>
      <c r="F1730" s="19">
        <v>100</v>
      </c>
      <c r="G1730" s="19">
        <v>100</v>
      </c>
      <c r="H1730" s="24">
        <f>IF(G1730/F1730*100&gt;100,100,G1730/F1730*100)</f>
        <v>100</v>
      </c>
      <c r="I1730" s="19"/>
      <c r="J1730" s="19" t="s">
        <v>217</v>
      </c>
      <c r="K1730" s="41" t="s">
        <v>250</v>
      </c>
      <c r="L1730" s="19" t="s">
        <v>216</v>
      </c>
      <c r="M1730" s="19">
        <v>13</v>
      </c>
      <c r="N1730" s="19">
        <v>13</v>
      </c>
      <c r="O1730" s="24">
        <f>IF(N1730/M1730*100&gt;110,110,N1730/M1730*100)</f>
        <v>100</v>
      </c>
      <c r="P1730" s="19"/>
      <c r="Q1730" s="35"/>
      <c r="R1730" s="19"/>
      <c r="S1730" s="557"/>
      <c r="T1730" s="2"/>
    </row>
    <row r="1731" spans="1:21" s="1" customFormat="1" ht="40.5" customHeight="1" x14ac:dyDescent="0.35">
      <c r="A1731" s="605"/>
      <c r="B1731" s="541"/>
      <c r="C1731" s="19" t="s">
        <v>219</v>
      </c>
      <c r="D1731" s="41" t="s">
        <v>251</v>
      </c>
      <c r="E1731" s="19" t="s">
        <v>18</v>
      </c>
      <c r="F1731" s="19">
        <v>100</v>
      </c>
      <c r="G1731" s="19">
        <v>100</v>
      </c>
      <c r="H1731" s="24">
        <f>IF(G1731/F1731*100&gt;100,100,G1731/F1731*100)</f>
        <v>100</v>
      </c>
      <c r="I1731" s="19"/>
      <c r="J1731" s="19" t="s">
        <v>219</v>
      </c>
      <c r="K1731" s="41" t="s">
        <v>237</v>
      </c>
      <c r="L1731" s="19" t="s">
        <v>216</v>
      </c>
      <c r="M1731" s="19">
        <v>1</v>
      </c>
      <c r="N1731" s="19">
        <v>1</v>
      </c>
      <c r="O1731" s="24">
        <f>IF(N1731/M1731*100&gt;110,110,N1731/M1731*100)</f>
        <v>100</v>
      </c>
      <c r="P1731" s="19"/>
      <c r="Q1731" s="35"/>
      <c r="R1731" s="19"/>
      <c r="S1731" s="557"/>
      <c r="T1731" s="2"/>
    </row>
    <row r="1732" spans="1:21" s="1" customFormat="1" ht="40.5" customHeight="1" x14ac:dyDescent="0.35">
      <c r="A1732" s="605"/>
      <c r="B1732" s="541"/>
      <c r="C1732" s="19" t="s">
        <v>240</v>
      </c>
      <c r="D1732" s="41" t="s">
        <v>252</v>
      </c>
      <c r="E1732" s="19" t="s">
        <v>18</v>
      </c>
      <c r="F1732" s="19">
        <v>100</v>
      </c>
      <c r="G1732" s="19">
        <v>100</v>
      </c>
      <c r="H1732" s="24">
        <f>IF(G1732/F1732*100&gt;100,100,G1732/F1732*100)</f>
        <v>100</v>
      </c>
      <c r="I1732" s="19"/>
      <c r="J1732" s="19" t="s">
        <v>240</v>
      </c>
      <c r="K1732" s="41" t="s">
        <v>253</v>
      </c>
      <c r="L1732" s="19" t="s">
        <v>216</v>
      </c>
      <c r="M1732" s="19">
        <v>4</v>
      </c>
      <c r="N1732" s="19">
        <v>4</v>
      </c>
      <c r="O1732" s="24">
        <f>IF(N1732/M1732*100&gt;110,110,N1732/M1732*100)</f>
        <v>100</v>
      </c>
      <c r="P1732" s="19"/>
      <c r="Q1732" s="35"/>
      <c r="R1732" s="19"/>
      <c r="S1732" s="557"/>
      <c r="T1732" s="2"/>
    </row>
    <row r="1733" spans="1:21" s="1" customFormat="1" ht="42" customHeight="1" x14ac:dyDescent="0.35">
      <c r="A1733" s="605"/>
      <c r="B1733" s="541"/>
      <c r="C1733" s="128"/>
      <c r="D1733" s="466" t="s">
        <v>644</v>
      </c>
      <c r="E1733" s="20"/>
      <c r="F1733" s="127"/>
      <c r="G1733" s="126"/>
      <c r="H1733" s="18"/>
      <c r="I1733" s="18">
        <f>(H1729+H1730+H1731+H1732)/4</f>
        <v>100</v>
      </c>
      <c r="J1733" s="20"/>
      <c r="K1733" s="466" t="s">
        <v>644</v>
      </c>
      <c r="L1733" s="20"/>
      <c r="M1733" s="124"/>
      <c r="N1733" s="124"/>
      <c r="O1733" s="18"/>
      <c r="P1733" s="18">
        <f>(O1729+O1730+O1731+O1732)/4</f>
        <v>100</v>
      </c>
      <c r="Q1733" s="18">
        <f>(I1733+P1733)/2</f>
        <v>100</v>
      </c>
      <c r="R1733" s="465" t="s">
        <v>25</v>
      </c>
      <c r="S1733" s="557"/>
      <c r="T1733" s="2"/>
      <c r="U1733" s="3"/>
    </row>
    <row r="1734" spans="1:21" s="1" customFormat="1" ht="33" x14ac:dyDescent="0.35">
      <c r="A1734" s="605"/>
      <c r="B1734" s="541"/>
      <c r="C1734" s="454" t="s">
        <v>36</v>
      </c>
      <c r="D1734" s="59" t="s">
        <v>241</v>
      </c>
      <c r="E1734" s="19"/>
      <c r="F1734" s="19"/>
      <c r="G1734" s="19"/>
      <c r="H1734" s="35"/>
      <c r="I1734" s="35"/>
      <c r="J1734" s="454" t="str">
        <f>C1734</f>
        <v>III</v>
      </c>
      <c r="K1734" s="59" t="str">
        <f>D1734</f>
        <v>Реализация адаптированных дополнительных образовательных программ</v>
      </c>
      <c r="L1734" s="19"/>
      <c r="M1734" s="19"/>
      <c r="N1734" s="19"/>
      <c r="O1734" s="35"/>
      <c r="P1734" s="35"/>
      <c r="Q1734" s="35"/>
      <c r="R1734" s="19"/>
      <c r="S1734" s="557"/>
      <c r="T1734" s="2"/>
    </row>
    <row r="1735" spans="1:21" s="1" customFormat="1" ht="57" customHeight="1" x14ac:dyDescent="0.35">
      <c r="A1735" s="605"/>
      <c r="B1735" s="541"/>
      <c r="C1735" s="19" t="s">
        <v>38</v>
      </c>
      <c r="D1735" s="41" t="s">
        <v>233</v>
      </c>
      <c r="E1735" s="19" t="s">
        <v>18</v>
      </c>
      <c r="F1735" s="19">
        <v>90</v>
      </c>
      <c r="G1735" s="19">
        <v>100</v>
      </c>
      <c r="H1735" s="24">
        <f>IF(G1735/F1735*100&gt;100,100,G1735/F1735*100)</f>
        <v>100</v>
      </c>
      <c r="I1735" s="19"/>
      <c r="J1735" s="19" t="s">
        <v>38</v>
      </c>
      <c r="K1735" s="455" t="s">
        <v>254</v>
      </c>
      <c r="L1735" s="19" t="s">
        <v>158</v>
      </c>
      <c r="M1735" s="19">
        <v>432</v>
      </c>
      <c r="N1735" s="19">
        <v>410</v>
      </c>
      <c r="O1735" s="24">
        <f>IF(N1735/M1735*100&gt;110,110,N1735/M1735*100)</f>
        <v>94.907407407407405</v>
      </c>
      <c r="P1735" s="19"/>
      <c r="Q1735" s="35"/>
      <c r="R1735" s="19"/>
      <c r="S1735" s="557"/>
      <c r="T1735" s="2"/>
    </row>
    <row r="1736" spans="1:21" s="1" customFormat="1" ht="43.5" customHeight="1" x14ac:dyDescent="0.35">
      <c r="A1736" s="605"/>
      <c r="B1736" s="541"/>
      <c r="C1736" s="465"/>
      <c r="D1736" s="466" t="s">
        <v>644</v>
      </c>
      <c r="E1736" s="465"/>
      <c r="F1736" s="20"/>
      <c r="G1736" s="20"/>
      <c r="H1736" s="18"/>
      <c r="I1736" s="18">
        <f>H1735</f>
        <v>100</v>
      </c>
      <c r="J1736" s="128"/>
      <c r="K1736" s="466" t="s">
        <v>644</v>
      </c>
      <c r="L1736" s="20"/>
      <c r="M1736" s="124"/>
      <c r="N1736" s="124"/>
      <c r="O1736" s="18"/>
      <c r="P1736" s="18">
        <f>O1735</f>
        <v>94.907407407407405</v>
      </c>
      <c r="Q1736" s="18">
        <f>(I1736+P1736)/2</f>
        <v>97.453703703703695</v>
      </c>
      <c r="R1736" s="465" t="s">
        <v>112</v>
      </c>
      <c r="S1736" s="557"/>
      <c r="T1736" s="2"/>
    </row>
    <row r="1737" spans="1:21" s="1" customFormat="1" ht="90" customHeight="1" x14ac:dyDescent="0.35">
      <c r="A1737" s="605">
        <v>78</v>
      </c>
      <c r="B1737" s="541" t="s">
        <v>255</v>
      </c>
      <c r="C1737" s="454" t="s">
        <v>13</v>
      </c>
      <c r="D1737" s="59" t="s">
        <v>130</v>
      </c>
      <c r="E1737" s="454"/>
      <c r="F1737" s="454"/>
      <c r="G1737" s="454"/>
      <c r="H1737" s="35"/>
      <c r="I1737" s="35"/>
      <c r="J1737" s="454" t="s">
        <v>13</v>
      </c>
      <c r="K1737" s="59" t="s">
        <v>130</v>
      </c>
      <c r="L1737" s="19"/>
      <c r="M1737" s="19"/>
      <c r="N1737" s="19"/>
      <c r="O1737" s="35"/>
      <c r="P1737" s="35"/>
      <c r="Q1737" s="35"/>
      <c r="R1737" s="19"/>
      <c r="S1737" s="557" t="s">
        <v>104</v>
      </c>
      <c r="T1737" s="2"/>
    </row>
    <row r="1738" spans="1:21" s="1" customFormat="1" ht="72" customHeight="1" x14ac:dyDescent="0.35">
      <c r="A1738" s="605"/>
      <c r="B1738" s="541"/>
      <c r="C1738" s="19" t="s">
        <v>16</v>
      </c>
      <c r="D1738" s="41" t="s">
        <v>297</v>
      </c>
      <c r="E1738" s="19" t="s">
        <v>18</v>
      </c>
      <c r="F1738" s="19">
        <v>90</v>
      </c>
      <c r="G1738" s="19">
        <v>99</v>
      </c>
      <c r="H1738" s="24">
        <f>IF(G1738/F1738*100&gt;100,100,G1738/F1738*100)</f>
        <v>100</v>
      </c>
      <c r="I1738" s="19"/>
      <c r="J1738" s="19" t="s">
        <v>16</v>
      </c>
      <c r="K1738" s="455" t="s">
        <v>223</v>
      </c>
      <c r="L1738" s="19" t="s">
        <v>158</v>
      </c>
      <c r="M1738" s="19"/>
      <c r="N1738" s="19"/>
      <c r="O1738" s="24"/>
      <c r="P1738" s="468"/>
      <c r="Q1738" s="35"/>
      <c r="R1738" s="19"/>
      <c r="S1738" s="557"/>
      <c r="T1738" s="2"/>
    </row>
    <row r="1739" spans="1:21" s="1" customFormat="1" ht="61.5" customHeight="1" x14ac:dyDescent="0.35">
      <c r="A1739" s="605"/>
      <c r="B1739" s="541"/>
      <c r="C1739" s="19"/>
      <c r="D1739" s="41"/>
      <c r="E1739" s="19"/>
      <c r="F1739" s="477"/>
      <c r="G1739" s="477"/>
      <c r="H1739" s="24"/>
      <c r="I1739" s="19"/>
      <c r="J1739" s="19" t="s">
        <v>224</v>
      </c>
      <c r="K1739" s="455" t="s">
        <v>244</v>
      </c>
      <c r="L1739" s="19" t="s">
        <v>158</v>
      </c>
      <c r="M1739" s="19">
        <v>16488</v>
      </c>
      <c r="N1739" s="19">
        <v>16752</v>
      </c>
      <c r="O1739" s="24">
        <f>IF(N1739/M1739*100&gt;110,110,N1739/M1739*100)</f>
        <v>101.60116448326055</v>
      </c>
      <c r="P1739" s="468"/>
      <c r="Q1739" s="35"/>
      <c r="R1739" s="19"/>
      <c r="S1739" s="557"/>
      <c r="T1739" s="2"/>
    </row>
    <row r="1740" spans="1:21" s="1" customFormat="1" ht="55.5" customHeight="1" x14ac:dyDescent="0.35">
      <c r="A1740" s="605"/>
      <c r="B1740" s="541"/>
      <c r="C1740" s="19"/>
      <c r="D1740" s="41"/>
      <c r="E1740" s="19"/>
      <c r="F1740" s="19"/>
      <c r="G1740" s="19"/>
      <c r="H1740" s="24"/>
      <c r="I1740" s="19"/>
      <c r="J1740" s="19" t="s">
        <v>226</v>
      </c>
      <c r="K1740" s="455" t="s">
        <v>227</v>
      </c>
      <c r="L1740" s="19" t="s">
        <v>158</v>
      </c>
      <c r="M1740" s="19">
        <v>23604</v>
      </c>
      <c r="N1740" s="19">
        <v>24338</v>
      </c>
      <c r="O1740" s="24">
        <f>IF(N1740/M1740*100&gt;110,110,N1740/M1740*100)</f>
        <v>103.10964243348586</v>
      </c>
      <c r="P1740" s="468"/>
      <c r="Q1740" s="35"/>
      <c r="R1740" s="19"/>
      <c r="S1740" s="557"/>
      <c r="T1740" s="2"/>
    </row>
    <row r="1741" spans="1:21" s="1" customFormat="1" ht="81" customHeight="1" x14ac:dyDescent="0.35">
      <c r="A1741" s="605"/>
      <c r="B1741" s="541"/>
      <c r="C1741" s="19"/>
      <c r="D1741" s="41"/>
      <c r="E1741" s="19"/>
      <c r="F1741" s="19"/>
      <c r="G1741" s="19"/>
      <c r="H1741" s="24"/>
      <c r="I1741" s="19"/>
      <c r="J1741" s="19" t="s">
        <v>228</v>
      </c>
      <c r="K1741" s="455" t="s">
        <v>229</v>
      </c>
      <c r="L1741" s="19" t="s">
        <v>158</v>
      </c>
      <c r="M1741" s="19">
        <v>80105</v>
      </c>
      <c r="N1741" s="19">
        <v>80053</v>
      </c>
      <c r="O1741" s="24">
        <f>IF(N1741/M1741*100&gt;110,110,N1741/M1741*100)</f>
        <v>99.935085200674109</v>
      </c>
      <c r="P1741" s="468"/>
      <c r="Q1741" s="35"/>
      <c r="R1741" s="19"/>
      <c r="S1741" s="557"/>
      <c r="T1741" s="2"/>
    </row>
    <row r="1742" spans="1:21" s="1" customFormat="1" ht="42" customHeight="1" x14ac:dyDescent="0.35">
      <c r="A1742" s="605"/>
      <c r="B1742" s="541"/>
      <c r="C1742" s="128"/>
      <c r="D1742" s="466" t="s">
        <v>644</v>
      </c>
      <c r="E1742" s="20"/>
      <c r="F1742" s="127"/>
      <c r="G1742" s="126"/>
      <c r="H1742" s="18"/>
      <c r="I1742" s="18">
        <f>H1738</f>
        <v>100</v>
      </c>
      <c r="J1742" s="20"/>
      <c r="K1742" s="466" t="s">
        <v>644</v>
      </c>
      <c r="L1742" s="20"/>
      <c r="M1742" s="124"/>
      <c r="N1742" s="124"/>
      <c r="O1742" s="18"/>
      <c r="P1742" s="18">
        <f>(O1739+O1740+O1741)/3</f>
        <v>101.54863070580684</v>
      </c>
      <c r="Q1742" s="18">
        <f>(I1742+P1742)/2</f>
        <v>100.77431535290341</v>
      </c>
      <c r="R1742" s="465" t="s">
        <v>25</v>
      </c>
      <c r="S1742" s="557"/>
      <c r="T1742" s="2"/>
      <c r="U1742" s="3"/>
    </row>
    <row r="1743" spans="1:21" s="1" customFormat="1" ht="66" customHeight="1" x14ac:dyDescent="0.35">
      <c r="A1743" s="605"/>
      <c r="B1743" s="541"/>
      <c r="C1743" s="454" t="s">
        <v>26</v>
      </c>
      <c r="D1743" s="59" t="s">
        <v>211</v>
      </c>
      <c r="E1743" s="19"/>
      <c r="F1743" s="19"/>
      <c r="G1743" s="19"/>
      <c r="H1743" s="35"/>
      <c r="I1743" s="35"/>
      <c r="J1743" s="454" t="s">
        <v>26</v>
      </c>
      <c r="K1743" s="59" t="s">
        <v>211</v>
      </c>
      <c r="L1743" s="19"/>
      <c r="M1743" s="19"/>
      <c r="N1743" s="19"/>
      <c r="O1743" s="35"/>
      <c r="P1743" s="35"/>
      <c r="Q1743" s="35"/>
      <c r="R1743" s="19"/>
      <c r="S1743" s="557"/>
      <c r="T1743" s="2"/>
    </row>
    <row r="1744" spans="1:21" s="1" customFormat="1" ht="43.5" customHeight="1" x14ac:dyDescent="0.35">
      <c r="A1744" s="605"/>
      <c r="B1744" s="541"/>
      <c r="C1744" s="19" t="s">
        <v>28</v>
      </c>
      <c r="D1744" s="41" t="s">
        <v>212</v>
      </c>
      <c r="E1744" s="19"/>
      <c r="F1744" s="19"/>
      <c r="G1744" s="19"/>
      <c r="H1744" s="24"/>
      <c r="I1744" s="24"/>
      <c r="J1744" s="19" t="s">
        <v>28</v>
      </c>
      <c r="K1744" s="41" t="s">
        <v>213</v>
      </c>
      <c r="L1744" s="19"/>
      <c r="M1744" s="19"/>
      <c r="N1744" s="19"/>
      <c r="O1744" s="24"/>
      <c r="P1744" s="19"/>
      <c r="Q1744" s="35"/>
      <c r="R1744" s="19"/>
      <c r="S1744" s="557"/>
      <c r="T1744" s="2"/>
    </row>
    <row r="1745" spans="1:21" s="1" customFormat="1" ht="58.5" customHeight="1" x14ac:dyDescent="0.35">
      <c r="A1745" s="605"/>
      <c r="B1745" s="541"/>
      <c r="C1745" s="19" t="s">
        <v>214</v>
      </c>
      <c r="D1745" s="41" t="s">
        <v>215</v>
      </c>
      <c r="E1745" s="19" t="s">
        <v>18</v>
      </c>
      <c r="F1745" s="19">
        <v>100</v>
      </c>
      <c r="G1745" s="19">
        <v>100</v>
      </c>
      <c r="H1745" s="24">
        <f>IF(G1745/F1745*100&gt;100,100,G1745/F1745*100)</f>
        <v>100</v>
      </c>
      <c r="I1745" s="19"/>
      <c r="J1745" s="19" t="s">
        <v>214</v>
      </c>
      <c r="K1745" s="41" t="str">
        <f>D1745</f>
        <v>творческие (фестивали, выставки, конкурсы, смотры)</v>
      </c>
      <c r="L1745" s="19" t="s">
        <v>216</v>
      </c>
      <c r="M1745" s="19">
        <v>9</v>
      </c>
      <c r="N1745" s="19">
        <v>9</v>
      </c>
      <c r="O1745" s="24">
        <f>IF(N1745/M1745*100&gt;110,110,N1745/M1745*100)</f>
        <v>100</v>
      </c>
      <c r="P1745" s="19"/>
      <c r="Q1745" s="35"/>
      <c r="R1745" s="19"/>
      <c r="S1745" s="557"/>
      <c r="T1745" s="2"/>
    </row>
    <row r="1746" spans="1:21" s="1" customFormat="1" ht="56.25" customHeight="1" x14ac:dyDescent="0.35">
      <c r="A1746" s="605"/>
      <c r="B1746" s="541"/>
      <c r="C1746" s="19" t="s">
        <v>217</v>
      </c>
      <c r="D1746" s="41" t="s">
        <v>256</v>
      </c>
      <c r="E1746" s="19" t="s">
        <v>18</v>
      </c>
      <c r="F1746" s="19">
        <v>100</v>
      </c>
      <c r="G1746" s="19">
        <v>100</v>
      </c>
      <c r="H1746" s="24">
        <f>IF(G1746/F1746*100&gt;100,100,G1746/F1746*100)</f>
        <v>100</v>
      </c>
      <c r="I1746" s="19"/>
      <c r="J1746" s="19" t="s">
        <v>217</v>
      </c>
      <c r="K1746" s="41" t="str">
        <f>D1746</f>
        <v>культурно-массовые (зрелищные, культурно-массовые)</v>
      </c>
      <c r="L1746" s="19" t="s">
        <v>216</v>
      </c>
      <c r="M1746" s="19">
        <v>11</v>
      </c>
      <c r="N1746" s="19">
        <v>11</v>
      </c>
      <c r="O1746" s="24">
        <f>IF(N1746/M1746*100&gt;110,110,N1746/M1746*100)</f>
        <v>100</v>
      </c>
      <c r="P1746" s="19"/>
      <c r="Q1746" s="35"/>
      <c r="R1746" s="19"/>
      <c r="S1746" s="557"/>
      <c r="T1746" s="2"/>
    </row>
    <row r="1747" spans="1:21" s="1" customFormat="1" ht="43.5" customHeight="1" x14ac:dyDescent="0.35">
      <c r="A1747" s="605"/>
      <c r="B1747" s="541"/>
      <c r="C1747" s="19" t="s">
        <v>219</v>
      </c>
      <c r="D1747" s="41" t="s">
        <v>237</v>
      </c>
      <c r="E1747" s="19" t="s">
        <v>18</v>
      </c>
      <c r="F1747" s="19">
        <v>100</v>
      </c>
      <c r="G1747" s="19">
        <v>100</v>
      </c>
      <c r="H1747" s="24">
        <f>IF(G1747/F1747*100&gt;100,100,G1747/F1747*100)</f>
        <v>100</v>
      </c>
      <c r="I1747" s="19"/>
      <c r="J1747" s="19" t="s">
        <v>219</v>
      </c>
      <c r="K1747" s="41" t="str">
        <f>D1747</f>
        <v>мастер-классы</v>
      </c>
      <c r="L1747" s="19" t="s">
        <v>216</v>
      </c>
      <c r="M1747" s="19">
        <v>1</v>
      </c>
      <c r="N1747" s="19">
        <v>1</v>
      </c>
      <c r="O1747" s="24">
        <f>IF(N1747/M1747*100&gt;110,110,N1747/M1747*100)</f>
        <v>100</v>
      </c>
      <c r="P1747" s="19"/>
      <c r="Q1747" s="35"/>
      <c r="R1747" s="19"/>
      <c r="S1747" s="557"/>
      <c r="T1747" s="2"/>
    </row>
    <row r="1748" spans="1:21" s="1" customFormat="1" ht="43.5" customHeight="1" x14ac:dyDescent="0.35">
      <c r="A1748" s="605"/>
      <c r="B1748" s="541"/>
      <c r="C1748" s="19" t="s">
        <v>240</v>
      </c>
      <c r="D1748" s="41" t="s">
        <v>220</v>
      </c>
      <c r="E1748" s="19" t="s">
        <v>18</v>
      </c>
      <c r="F1748" s="19">
        <v>100</v>
      </c>
      <c r="G1748" s="19">
        <v>100</v>
      </c>
      <c r="H1748" s="24">
        <f>IF(G1748/F1748*100&gt;100,100,G1748/F1748*100)</f>
        <v>100</v>
      </c>
      <c r="I1748" s="19"/>
      <c r="J1748" s="19" t="s">
        <v>240</v>
      </c>
      <c r="K1748" s="41" t="str">
        <f>D1748</f>
        <v>методические (семинар, конференция)</v>
      </c>
      <c r="L1748" s="19" t="s">
        <v>216</v>
      </c>
      <c r="M1748" s="19">
        <v>7</v>
      </c>
      <c r="N1748" s="19">
        <v>7</v>
      </c>
      <c r="O1748" s="24">
        <f>IF(N1748/M1748*100&gt;110,110,N1748/M1748*100)</f>
        <v>100</v>
      </c>
      <c r="P1748" s="19"/>
      <c r="Q1748" s="35"/>
      <c r="R1748" s="19"/>
      <c r="S1748" s="557"/>
      <c r="T1748" s="2"/>
    </row>
    <row r="1749" spans="1:21" s="1" customFormat="1" ht="42" customHeight="1" x14ac:dyDescent="0.35">
      <c r="A1749" s="605"/>
      <c r="B1749" s="541"/>
      <c r="C1749" s="128"/>
      <c r="D1749" s="466" t="s">
        <v>644</v>
      </c>
      <c r="E1749" s="20"/>
      <c r="F1749" s="127"/>
      <c r="G1749" s="126"/>
      <c r="H1749" s="18"/>
      <c r="I1749" s="18">
        <f>(H1745+H1746+H1747+H1748)/4</f>
        <v>100</v>
      </c>
      <c r="J1749" s="20"/>
      <c r="K1749" s="466" t="s">
        <v>644</v>
      </c>
      <c r="L1749" s="20"/>
      <c r="M1749" s="124"/>
      <c r="N1749" s="124"/>
      <c r="O1749" s="18"/>
      <c r="P1749" s="18">
        <f>(O1745+O1746+O1747+O1748)/4</f>
        <v>100</v>
      </c>
      <c r="Q1749" s="18">
        <f>(I1749+P1749)/2</f>
        <v>100</v>
      </c>
      <c r="R1749" s="465" t="s">
        <v>25</v>
      </c>
      <c r="S1749" s="557"/>
      <c r="T1749" s="2"/>
      <c r="U1749" s="3"/>
    </row>
    <row r="1750" spans="1:21" s="1" customFormat="1" ht="33" x14ac:dyDescent="0.35">
      <c r="A1750" s="605"/>
      <c r="B1750" s="541"/>
      <c r="C1750" s="454" t="s">
        <v>36</v>
      </c>
      <c r="D1750" s="59" t="s">
        <v>241</v>
      </c>
      <c r="E1750" s="19"/>
      <c r="F1750" s="19"/>
      <c r="G1750" s="19"/>
      <c r="H1750" s="35"/>
      <c r="I1750" s="35"/>
      <c r="J1750" s="454" t="str">
        <f>C1750</f>
        <v>III</v>
      </c>
      <c r="K1750" s="59" t="str">
        <f>D1750</f>
        <v>Реализация адаптированных дополнительных образовательных программ</v>
      </c>
      <c r="L1750" s="19"/>
      <c r="M1750" s="19"/>
      <c r="N1750" s="19"/>
      <c r="O1750" s="35"/>
      <c r="P1750" s="35"/>
      <c r="Q1750" s="35"/>
      <c r="R1750" s="19"/>
      <c r="S1750" s="557"/>
      <c r="T1750" s="2"/>
    </row>
    <row r="1751" spans="1:21" s="1" customFormat="1" ht="57" customHeight="1" x14ac:dyDescent="0.35">
      <c r="A1751" s="605"/>
      <c r="B1751" s="541"/>
      <c r="C1751" s="19" t="s">
        <v>38</v>
      </c>
      <c r="D1751" s="41" t="s">
        <v>233</v>
      </c>
      <c r="E1751" s="19" t="s">
        <v>18</v>
      </c>
      <c r="F1751" s="19">
        <v>90</v>
      </c>
      <c r="G1751" s="19">
        <v>100</v>
      </c>
      <c r="H1751" s="24">
        <f>IF(G1751/F1751*100&gt;100,100,G1751/F1751*100)</f>
        <v>100</v>
      </c>
      <c r="I1751" s="19"/>
      <c r="J1751" s="19" t="s">
        <v>38</v>
      </c>
      <c r="K1751" s="455" t="s">
        <v>223</v>
      </c>
      <c r="L1751" s="19" t="s">
        <v>158</v>
      </c>
      <c r="M1751" s="19"/>
      <c r="N1751" s="19"/>
      <c r="O1751" s="24"/>
      <c r="P1751" s="19"/>
      <c r="Q1751" s="35"/>
      <c r="R1751" s="19"/>
      <c r="S1751" s="557"/>
      <c r="T1751" s="2"/>
    </row>
    <row r="1752" spans="1:21" s="1" customFormat="1" ht="57" customHeight="1" x14ac:dyDescent="0.35">
      <c r="A1752" s="605"/>
      <c r="B1752" s="541"/>
      <c r="C1752" s="19"/>
      <c r="D1752" s="41"/>
      <c r="E1752" s="19"/>
      <c r="F1752" s="19"/>
      <c r="G1752" s="19"/>
      <c r="H1752" s="24"/>
      <c r="I1752" s="19"/>
      <c r="J1752" s="19" t="s">
        <v>234</v>
      </c>
      <c r="K1752" s="455" t="s">
        <v>244</v>
      </c>
      <c r="L1752" s="19" t="s">
        <v>158</v>
      </c>
      <c r="M1752" s="19">
        <v>220</v>
      </c>
      <c r="N1752" s="19">
        <v>199</v>
      </c>
      <c r="O1752" s="24">
        <f>IF(N1752/M1752*100&gt;110,110,N1752/M1752*100)</f>
        <v>90.454545454545453</v>
      </c>
      <c r="P1752" s="19"/>
      <c r="Q1752" s="35"/>
      <c r="R1752" s="19"/>
      <c r="S1752" s="557"/>
      <c r="T1752" s="2"/>
    </row>
    <row r="1753" spans="1:21" s="1" customFormat="1" ht="57" customHeight="1" x14ac:dyDescent="0.35">
      <c r="A1753" s="605"/>
      <c r="B1753" s="541"/>
      <c r="C1753" s="19"/>
      <c r="D1753" s="41"/>
      <c r="E1753" s="19"/>
      <c r="F1753" s="19"/>
      <c r="G1753" s="19"/>
      <c r="H1753" s="24"/>
      <c r="I1753" s="19"/>
      <c r="J1753" s="19" t="s">
        <v>235</v>
      </c>
      <c r="K1753" s="455" t="s">
        <v>229</v>
      </c>
      <c r="L1753" s="19" t="s">
        <v>158</v>
      </c>
      <c r="M1753" s="19">
        <v>360</v>
      </c>
      <c r="N1753" s="19">
        <v>325</v>
      </c>
      <c r="O1753" s="24">
        <f>IF(N1753/M1753*100&gt;110,110,N1753/M1753*100)</f>
        <v>90.277777777777786</v>
      </c>
      <c r="P1753" s="19"/>
      <c r="Q1753" s="35"/>
      <c r="R1753" s="19"/>
      <c r="S1753" s="557"/>
      <c r="T1753" s="2"/>
    </row>
    <row r="1754" spans="1:21" s="1" customFormat="1" ht="57" customHeight="1" x14ac:dyDescent="0.35">
      <c r="A1754" s="605"/>
      <c r="B1754" s="541"/>
      <c r="C1754" s="19"/>
      <c r="D1754" s="455"/>
      <c r="E1754" s="19"/>
      <c r="F1754" s="19"/>
      <c r="G1754" s="19"/>
      <c r="H1754" s="24"/>
      <c r="I1754" s="19"/>
      <c r="J1754" s="19" t="s">
        <v>236</v>
      </c>
      <c r="K1754" s="455" t="s">
        <v>227</v>
      </c>
      <c r="L1754" s="19" t="s">
        <v>158</v>
      </c>
      <c r="M1754" s="19">
        <v>926</v>
      </c>
      <c r="N1754" s="19">
        <v>834</v>
      </c>
      <c r="O1754" s="24">
        <f>IF(N1754/M1754*100&gt;110,110,N1754/M1754*100)</f>
        <v>90.06479481641469</v>
      </c>
      <c r="P1754" s="19"/>
      <c r="Q1754" s="35"/>
      <c r="R1754" s="19"/>
      <c r="S1754" s="557"/>
      <c r="T1754" s="2"/>
    </row>
    <row r="1755" spans="1:21" s="1" customFormat="1" ht="43.5" customHeight="1" x14ac:dyDescent="0.35">
      <c r="A1755" s="605"/>
      <c r="B1755" s="541"/>
      <c r="C1755" s="465"/>
      <c r="D1755" s="466" t="s">
        <v>644</v>
      </c>
      <c r="E1755" s="465"/>
      <c r="F1755" s="20"/>
      <c r="G1755" s="20"/>
      <c r="H1755" s="18"/>
      <c r="I1755" s="18">
        <f>H1751</f>
        <v>100</v>
      </c>
      <c r="J1755" s="128"/>
      <c r="K1755" s="466" t="s">
        <v>644</v>
      </c>
      <c r="L1755" s="20"/>
      <c r="M1755" s="124"/>
      <c r="N1755" s="124"/>
      <c r="O1755" s="18"/>
      <c r="P1755" s="18">
        <f>(O1752+O1753+O1754)/3</f>
        <v>90.265706016245986</v>
      </c>
      <c r="Q1755" s="18">
        <f>(I1755+P1755)/2</f>
        <v>95.132853008122993</v>
      </c>
      <c r="R1755" s="465" t="s">
        <v>112</v>
      </c>
      <c r="S1755" s="557"/>
      <c r="T1755" s="2"/>
    </row>
    <row r="1756" spans="1:21" s="1" customFormat="1" ht="87" customHeight="1" x14ac:dyDescent="0.35">
      <c r="A1756" s="605">
        <v>79</v>
      </c>
      <c r="B1756" s="541" t="s">
        <v>257</v>
      </c>
      <c r="C1756" s="454" t="s">
        <v>13</v>
      </c>
      <c r="D1756" s="59" t="s">
        <v>130</v>
      </c>
      <c r="E1756" s="454"/>
      <c r="F1756" s="454"/>
      <c r="G1756" s="454"/>
      <c r="H1756" s="35"/>
      <c r="I1756" s="35"/>
      <c r="J1756" s="454" t="s">
        <v>13</v>
      </c>
      <c r="K1756" s="59" t="s">
        <v>130</v>
      </c>
      <c r="L1756" s="19"/>
      <c r="M1756" s="19"/>
      <c r="N1756" s="19"/>
      <c r="O1756" s="35"/>
      <c r="P1756" s="35"/>
      <c r="Q1756" s="35"/>
      <c r="R1756" s="19"/>
      <c r="S1756" s="557" t="s">
        <v>15</v>
      </c>
      <c r="T1756" s="2"/>
    </row>
    <row r="1757" spans="1:21" s="1" customFormat="1" ht="76.5" customHeight="1" x14ac:dyDescent="0.35">
      <c r="A1757" s="605"/>
      <c r="B1757" s="541"/>
      <c r="C1757" s="19" t="s">
        <v>16</v>
      </c>
      <c r="D1757" s="41" t="s">
        <v>208</v>
      </c>
      <c r="E1757" s="19" t="s">
        <v>18</v>
      </c>
      <c r="F1757" s="19">
        <v>100</v>
      </c>
      <c r="G1757" s="19">
        <v>100</v>
      </c>
      <c r="H1757" s="24">
        <f>IF(G1757/F1757*100&gt;100,100,G1757/F1757*100)</f>
        <v>100</v>
      </c>
      <c r="I1757" s="19"/>
      <c r="J1757" s="19" t="s">
        <v>16</v>
      </c>
      <c r="K1757" s="455" t="s">
        <v>223</v>
      </c>
      <c r="L1757" s="19" t="s">
        <v>158</v>
      </c>
      <c r="M1757" s="19"/>
      <c r="N1757" s="19"/>
      <c r="O1757" s="24"/>
      <c r="P1757" s="468"/>
      <c r="Q1757" s="35"/>
      <c r="R1757" s="19"/>
      <c r="S1757" s="557"/>
      <c r="T1757" s="2"/>
    </row>
    <row r="1758" spans="1:21" s="1" customFormat="1" ht="74.25" customHeight="1" x14ac:dyDescent="0.35">
      <c r="A1758" s="605"/>
      <c r="B1758" s="541"/>
      <c r="C1758" s="19"/>
      <c r="D1758" s="41"/>
      <c r="E1758" s="19"/>
      <c r="F1758" s="477"/>
      <c r="G1758" s="477"/>
      <c r="H1758" s="24"/>
      <c r="I1758" s="19"/>
      <c r="J1758" s="19" t="s">
        <v>224</v>
      </c>
      <c r="K1758" s="455" t="s">
        <v>258</v>
      </c>
      <c r="L1758" s="19" t="s">
        <v>158</v>
      </c>
      <c r="M1758" s="19">
        <v>103680</v>
      </c>
      <c r="N1758" s="19">
        <v>112647</v>
      </c>
      <c r="O1758" s="24">
        <f>IF(N1758/M1758*100&gt;110,110,N1758/M1758*100)</f>
        <v>108.64872685185185</v>
      </c>
      <c r="P1758" s="468"/>
      <c r="Q1758" s="35"/>
      <c r="R1758" s="19"/>
      <c r="S1758" s="557"/>
      <c r="T1758" s="2"/>
    </row>
    <row r="1759" spans="1:21" s="1" customFormat="1" ht="59.25" customHeight="1" x14ac:dyDescent="0.35">
      <c r="A1759" s="605"/>
      <c r="B1759" s="541"/>
      <c r="C1759" s="465"/>
      <c r="D1759" s="466" t="s">
        <v>644</v>
      </c>
      <c r="E1759" s="465"/>
      <c r="F1759" s="20"/>
      <c r="G1759" s="20"/>
      <c r="H1759" s="18"/>
      <c r="I1759" s="18">
        <f>H1757</f>
        <v>100</v>
      </c>
      <c r="J1759" s="128"/>
      <c r="K1759" s="466" t="s">
        <v>644</v>
      </c>
      <c r="L1759" s="20"/>
      <c r="M1759" s="124"/>
      <c r="N1759" s="124"/>
      <c r="O1759" s="18"/>
      <c r="P1759" s="18">
        <f>O1758</f>
        <v>108.64872685185185</v>
      </c>
      <c r="Q1759" s="18">
        <f>(I1759+P1759)/2</f>
        <v>104.32436342592592</v>
      </c>
      <c r="R1759" s="465" t="s">
        <v>25</v>
      </c>
      <c r="S1759" s="557"/>
      <c r="T1759" s="2"/>
    </row>
    <row r="1760" spans="1:21" s="1" customFormat="1" ht="72" customHeight="1" x14ac:dyDescent="0.35">
      <c r="A1760" s="605"/>
      <c r="B1760" s="541"/>
      <c r="C1760" s="454" t="s">
        <v>259</v>
      </c>
      <c r="D1760" s="59" t="s">
        <v>241</v>
      </c>
      <c r="E1760" s="19"/>
      <c r="F1760" s="19"/>
      <c r="G1760" s="19"/>
      <c r="H1760" s="35"/>
      <c r="I1760" s="35"/>
      <c r="J1760" s="454" t="str">
        <f>C1760</f>
        <v xml:space="preserve">II </v>
      </c>
      <c r="K1760" s="59" t="str">
        <f>D1760</f>
        <v>Реализация адаптированных дополнительных образовательных программ</v>
      </c>
      <c r="L1760" s="19"/>
      <c r="M1760" s="19"/>
      <c r="N1760" s="19"/>
      <c r="O1760" s="35"/>
      <c r="P1760" s="468"/>
      <c r="Q1760" s="35"/>
      <c r="R1760" s="19"/>
      <c r="S1760" s="557"/>
      <c r="T1760" s="2"/>
    </row>
    <row r="1761" spans="1:20" s="1" customFormat="1" ht="72" customHeight="1" x14ac:dyDescent="0.35">
      <c r="A1761" s="605"/>
      <c r="B1761" s="541"/>
      <c r="C1761" s="19" t="s">
        <v>28</v>
      </c>
      <c r="D1761" s="455" t="s">
        <v>233</v>
      </c>
      <c r="E1761" s="19" t="s">
        <v>18</v>
      </c>
      <c r="F1761" s="19">
        <v>90</v>
      </c>
      <c r="G1761" s="19">
        <v>100</v>
      </c>
      <c r="H1761" s="24">
        <f>IF(G1761/F1761*100&gt;100,100,G1761/F1761*100)</f>
        <v>100</v>
      </c>
      <c r="I1761" s="19"/>
      <c r="J1761" s="19" t="s">
        <v>28</v>
      </c>
      <c r="K1761" s="455" t="s">
        <v>223</v>
      </c>
      <c r="L1761" s="19" t="s">
        <v>158</v>
      </c>
      <c r="M1761" s="19"/>
      <c r="N1761" s="19"/>
      <c r="O1761" s="24"/>
      <c r="P1761" s="468"/>
      <c r="Q1761" s="35"/>
      <c r="R1761" s="19"/>
      <c r="S1761" s="557"/>
      <c r="T1761" s="2"/>
    </row>
    <row r="1762" spans="1:20" s="1" customFormat="1" ht="72" customHeight="1" x14ac:dyDescent="0.35">
      <c r="A1762" s="605"/>
      <c r="B1762" s="541"/>
      <c r="C1762" s="19"/>
      <c r="D1762" s="455"/>
      <c r="E1762" s="19"/>
      <c r="F1762" s="19"/>
      <c r="G1762" s="19"/>
      <c r="H1762" s="24"/>
      <c r="I1762" s="19"/>
      <c r="J1762" s="19" t="s">
        <v>214</v>
      </c>
      <c r="K1762" s="455" t="s">
        <v>258</v>
      </c>
      <c r="L1762" s="19" t="s">
        <v>158</v>
      </c>
      <c r="M1762" s="19">
        <v>2040</v>
      </c>
      <c r="N1762" s="19">
        <v>2040</v>
      </c>
      <c r="O1762" s="24">
        <f>IF(N1762/M1762*100&gt;110,110,N1762/M1762*100)</f>
        <v>100</v>
      </c>
      <c r="P1762" s="468"/>
      <c r="Q1762" s="35"/>
      <c r="R1762" s="19"/>
      <c r="S1762" s="557"/>
      <c r="T1762" s="2"/>
    </row>
    <row r="1763" spans="1:20" s="1" customFormat="1" ht="43.5" customHeight="1" x14ac:dyDescent="0.35">
      <c r="A1763" s="605"/>
      <c r="B1763" s="541"/>
      <c r="C1763" s="465"/>
      <c r="D1763" s="466" t="s">
        <v>644</v>
      </c>
      <c r="E1763" s="465"/>
      <c r="F1763" s="20"/>
      <c r="G1763" s="20"/>
      <c r="H1763" s="18"/>
      <c r="I1763" s="18">
        <f>H1761</f>
        <v>100</v>
      </c>
      <c r="J1763" s="128"/>
      <c r="K1763" s="466" t="s">
        <v>644</v>
      </c>
      <c r="L1763" s="20"/>
      <c r="M1763" s="124"/>
      <c r="N1763" s="124"/>
      <c r="O1763" s="18"/>
      <c r="P1763" s="18">
        <f>O1762</f>
        <v>100</v>
      </c>
      <c r="Q1763" s="18">
        <f>(I1763+P1763)/2</f>
        <v>100</v>
      </c>
      <c r="R1763" s="465" t="s">
        <v>25</v>
      </c>
      <c r="S1763" s="557"/>
      <c r="T1763" s="2"/>
    </row>
    <row r="1764" spans="1:20" s="1" customFormat="1" ht="85.5" customHeight="1" x14ac:dyDescent="0.35">
      <c r="A1764" s="605"/>
      <c r="B1764" s="541"/>
      <c r="C1764" s="454" t="s">
        <v>36</v>
      </c>
      <c r="D1764" s="59" t="s">
        <v>211</v>
      </c>
      <c r="E1764" s="19"/>
      <c r="F1764" s="19"/>
      <c r="G1764" s="19"/>
      <c r="H1764" s="35"/>
      <c r="I1764" s="35"/>
      <c r="J1764" s="454" t="s">
        <v>36</v>
      </c>
      <c r="K1764" s="59" t="s">
        <v>211</v>
      </c>
      <c r="L1764" s="19"/>
      <c r="M1764" s="19"/>
      <c r="N1764" s="19"/>
      <c r="O1764" s="35"/>
      <c r="P1764" s="35"/>
      <c r="Q1764" s="35"/>
      <c r="R1764" s="19"/>
      <c r="S1764" s="557"/>
      <c r="T1764" s="2"/>
    </row>
    <row r="1765" spans="1:20" s="1" customFormat="1" ht="48" customHeight="1" x14ac:dyDescent="0.35">
      <c r="A1765" s="605"/>
      <c r="B1765" s="541"/>
      <c r="C1765" s="19" t="s">
        <v>38</v>
      </c>
      <c r="D1765" s="41" t="s">
        <v>212</v>
      </c>
      <c r="E1765" s="19"/>
      <c r="F1765" s="19"/>
      <c r="G1765" s="19"/>
      <c r="H1765" s="24"/>
      <c r="I1765" s="19"/>
      <c r="J1765" s="19" t="s">
        <v>38</v>
      </c>
      <c r="K1765" s="41" t="s">
        <v>213</v>
      </c>
      <c r="L1765" s="19"/>
      <c r="M1765" s="19"/>
      <c r="N1765" s="19"/>
      <c r="O1765" s="24"/>
      <c r="P1765" s="19"/>
      <c r="Q1765" s="35"/>
      <c r="R1765" s="19"/>
      <c r="S1765" s="557"/>
      <c r="T1765" s="2"/>
    </row>
    <row r="1766" spans="1:20" s="1" customFormat="1" ht="48" customHeight="1" x14ac:dyDescent="0.35">
      <c r="A1766" s="605"/>
      <c r="B1766" s="541"/>
      <c r="C1766" s="19" t="s">
        <v>234</v>
      </c>
      <c r="D1766" s="41" t="s">
        <v>215</v>
      </c>
      <c r="E1766" s="19" t="s">
        <v>18</v>
      </c>
      <c r="F1766" s="19">
        <v>100</v>
      </c>
      <c r="G1766" s="19">
        <v>100</v>
      </c>
      <c r="H1766" s="24">
        <f>IF(G1766/F1766*100&gt;100,100,G1766/F1766*100)</f>
        <v>100</v>
      </c>
      <c r="I1766" s="19"/>
      <c r="J1766" s="19" t="s">
        <v>234</v>
      </c>
      <c r="K1766" s="41" t="s">
        <v>260</v>
      </c>
      <c r="L1766" s="19" t="s">
        <v>216</v>
      </c>
      <c r="M1766" s="19">
        <v>9</v>
      </c>
      <c r="N1766" s="19">
        <v>9</v>
      </c>
      <c r="O1766" s="24">
        <f>IF(N1766/M1766*100&gt;110,110,N1766/M1766*100)</f>
        <v>100</v>
      </c>
      <c r="P1766" s="19"/>
      <c r="Q1766" s="35"/>
      <c r="R1766" s="19"/>
      <c r="S1766" s="557"/>
      <c r="T1766" s="2"/>
    </row>
    <row r="1767" spans="1:20" s="1" customFormat="1" ht="48" customHeight="1" x14ac:dyDescent="0.35">
      <c r="A1767" s="605"/>
      <c r="B1767" s="541"/>
      <c r="C1767" s="19" t="s">
        <v>235</v>
      </c>
      <c r="D1767" s="41" t="s">
        <v>218</v>
      </c>
      <c r="E1767" s="19" t="s">
        <v>18</v>
      </c>
      <c r="F1767" s="19">
        <v>100</v>
      </c>
      <c r="G1767" s="19">
        <v>100</v>
      </c>
      <c r="H1767" s="24">
        <f>IF(G1767/F1767*100&gt;100,100,G1767/F1767*100)</f>
        <v>100</v>
      </c>
      <c r="I1767" s="19"/>
      <c r="J1767" s="19" t="s">
        <v>235</v>
      </c>
      <c r="K1767" s="41" t="s">
        <v>261</v>
      </c>
      <c r="L1767" s="19" t="s">
        <v>216</v>
      </c>
      <c r="M1767" s="19">
        <v>4</v>
      </c>
      <c r="N1767" s="19">
        <v>4</v>
      </c>
      <c r="O1767" s="24">
        <f>IF(N1767/M1767*100&gt;110,110,N1767/M1767*100)</f>
        <v>100</v>
      </c>
      <c r="P1767" s="19"/>
      <c r="Q1767" s="35"/>
      <c r="R1767" s="19"/>
      <c r="S1767" s="557"/>
      <c r="T1767" s="2"/>
    </row>
    <row r="1768" spans="1:20" s="1" customFormat="1" ht="48" customHeight="1" x14ac:dyDescent="0.35">
      <c r="A1768" s="605"/>
      <c r="B1768" s="541"/>
      <c r="C1768" s="19" t="s">
        <v>236</v>
      </c>
      <c r="D1768" s="41" t="s">
        <v>237</v>
      </c>
      <c r="E1768" s="19" t="s">
        <v>18</v>
      </c>
      <c r="F1768" s="19" t="s">
        <v>245</v>
      </c>
      <c r="G1768" s="19" t="s">
        <v>245</v>
      </c>
      <c r="H1768" s="19" t="s">
        <v>245</v>
      </c>
      <c r="I1768" s="19"/>
      <c r="J1768" s="19" t="s">
        <v>236</v>
      </c>
      <c r="K1768" s="41" t="s">
        <v>237</v>
      </c>
      <c r="L1768" s="19"/>
      <c r="M1768" s="19" t="s">
        <v>245</v>
      </c>
      <c r="N1768" s="19" t="s">
        <v>245</v>
      </c>
      <c r="O1768" s="19" t="s">
        <v>245</v>
      </c>
      <c r="P1768" s="19"/>
      <c r="Q1768" s="35"/>
      <c r="R1768" s="19"/>
      <c r="S1768" s="557"/>
      <c r="T1768" s="2"/>
    </row>
    <row r="1769" spans="1:20" s="1" customFormat="1" ht="48" customHeight="1" x14ac:dyDescent="0.35">
      <c r="A1769" s="605"/>
      <c r="B1769" s="541"/>
      <c r="C1769" s="19" t="s">
        <v>238</v>
      </c>
      <c r="D1769" s="41" t="s">
        <v>220</v>
      </c>
      <c r="E1769" s="19" t="s">
        <v>18</v>
      </c>
      <c r="F1769" s="19" t="s">
        <v>245</v>
      </c>
      <c r="G1769" s="19" t="s">
        <v>245</v>
      </c>
      <c r="H1769" s="19" t="s">
        <v>245</v>
      </c>
      <c r="I1769" s="19"/>
      <c r="J1769" s="19" t="s">
        <v>238</v>
      </c>
      <c r="K1769" s="41" t="s">
        <v>220</v>
      </c>
      <c r="L1769" s="19"/>
      <c r="M1769" s="19" t="s">
        <v>245</v>
      </c>
      <c r="N1769" s="19" t="s">
        <v>245</v>
      </c>
      <c r="O1769" s="19" t="s">
        <v>245</v>
      </c>
      <c r="P1769" s="19"/>
      <c r="Q1769" s="35"/>
      <c r="R1769" s="19"/>
      <c r="S1769" s="557"/>
      <c r="T1769" s="2"/>
    </row>
    <row r="1770" spans="1:20" s="1" customFormat="1" ht="47.25" customHeight="1" x14ac:dyDescent="0.35">
      <c r="A1770" s="605"/>
      <c r="B1770" s="541"/>
      <c r="C1770" s="465"/>
      <c r="D1770" s="466" t="s">
        <v>644</v>
      </c>
      <c r="E1770" s="465"/>
      <c r="F1770" s="20"/>
      <c r="G1770" s="20"/>
      <c r="H1770" s="18"/>
      <c r="I1770" s="18">
        <f>(H1766+H1767)/2</f>
        <v>100</v>
      </c>
      <c r="J1770" s="128"/>
      <c r="K1770" s="466" t="s">
        <v>644</v>
      </c>
      <c r="L1770" s="20"/>
      <c r="M1770" s="124"/>
      <c r="N1770" s="124"/>
      <c r="O1770" s="18"/>
      <c r="P1770" s="18">
        <f>(O1766+O1767)/2</f>
        <v>100</v>
      </c>
      <c r="Q1770" s="18">
        <f>(I1770+P1770)/2</f>
        <v>100</v>
      </c>
      <c r="R1770" s="465" t="s">
        <v>25</v>
      </c>
      <c r="S1770" s="557"/>
      <c r="T1770" s="2"/>
    </row>
    <row r="1771" spans="1:20" s="1" customFormat="1" ht="52.5" customHeight="1" x14ac:dyDescent="0.35">
      <c r="A1771" s="605">
        <v>80</v>
      </c>
      <c r="B1771" s="541" t="s">
        <v>262</v>
      </c>
      <c r="C1771" s="454" t="s">
        <v>13</v>
      </c>
      <c r="D1771" s="59" t="s">
        <v>161</v>
      </c>
      <c r="E1771" s="454"/>
      <c r="F1771" s="454"/>
      <c r="G1771" s="454"/>
      <c r="H1771" s="35"/>
      <c r="I1771" s="35"/>
      <c r="J1771" s="454" t="s">
        <v>13</v>
      </c>
      <c r="K1771" s="59" t="str">
        <f>D1771</f>
        <v>Научно-методическое и ресурсное обеспечение системы образования</v>
      </c>
      <c r="L1771" s="19"/>
      <c r="M1771" s="19"/>
      <c r="N1771" s="19"/>
      <c r="O1771" s="35"/>
      <c r="P1771" s="35"/>
      <c r="Q1771" s="35"/>
      <c r="R1771" s="454"/>
      <c r="S1771" s="557" t="s">
        <v>15</v>
      </c>
      <c r="T1771" s="2"/>
    </row>
    <row r="1772" spans="1:20" s="1" customFormat="1" ht="179.25" customHeight="1" x14ac:dyDescent="0.35">
      <c r="A1772" s="605"/>
      <c r="B1772" s="541"/>
      <c r="C1772" s="19" t="s">
        <v>16</v>
      </c>
      <c r="D1772" s="41" t="s">
        <v>263</v>
      </c>
      <c r="E1772" s="19" t="s">
        <v>18</v>
      </c>
      <c r="F1772" s="19">
        <v>70</v>
      </c>
      <c r="G1772" s="19">
        <v>79.900000000000006</v>
      </c>
      <c r="H1772" s="24">
        <f>IF(G1772/F1772*100&gt;100,100,G1772/F1772*100)</f>
        <v>100</v>
      </c>
      <c r="I1772" s="19"/>
      <c r="J1772" s="19" t="s">
        <v>16</v>
      </c>
      <c r="K1772" s="41" t="s">
        <v>264</v>
      </c>
      <c r="L1772" s="19" t="s">
        <v>41</v>
      </c>
      <c r="M1772" s="492">
        <v>15</v>
      </c>
      <c r="N1772" s="492">
        <v>15</v>
      </c>
      <c r="O1772" s="144">
        <f>IF(N1772/M1772*100&gt;110,110,N1772/M1772*100)</f>
        <v>100</v>
      </c>
      <c r="P1772" s="67"/>
      <c r="Q1772" s="35"/>
      <c r="R1772" s="19"/>
      <c r="S1772" s="557"/>
      <c r="T1772" s="2"/>
    </row>
    <row r="1773" spans="1:20" s="1" customFormat="1" ht="45.75" customHeight="1" x14ac:dyDescent="0.35">
      <c r="A1773" s="605"/>
      <c r="B1773" s="541"/>
      <c r="C1773" s="465"/>
      <c r="D1773" s="466" t="s">
        <v>644</v>
      </c>
      <c r="E1773" s="465"/>
      <c r="F1773" s="20"/>
      <c r="G1773" s="20"/>
      <c r="H1773" s="18"/>
      <c r="I1773" s="18">
        <f>H1772</f>
        <v>100</v>
      </c>
      <c r="J1773" s="128"/>
      <c r="K1773" s="466" t="s">
        <v>644</v>
      </c>
      <c r="L1773" s="20"/>
      <c r="M1773" s="124"/>
      <c r="N1773" s="124"/>
      <c r="O1773" s="18"/>
      <c r="P1773" s="18">
        <f>I1773</f>
        <v>100</v>
      </c>
      <c r="Q1773" s="18">
        <f>(P1773+I1773)/2</f>
        <v>100</v>
      </c>
      <c r="R1773" s="465" t="s">
        <v>25</v>
      </c>
      <c r="S1773" s="557"/>
      <c r="T1773" s="2"/>
    </row>
    <row r="1774" spans="1:20" s="1" customFormat="1" ht="107.25" customHeight="1" x14ac:dyDescent="0.35">
      <c r="A1774" s="605"/>
      <c r="B1774" s="541"/>
      <c r="C1774" s="454" t="s">
        <v>259</v>
      </c>
      <c r="D1774" s="59" t="s">
        <v>265</v>
      </c>
      <c r="E1774" s="454"/>
      <c r="F1774" s="454"/>
      <c r="G1774" s="454"/>
      <c r="H1774" s="35"/>
      <c r="I1774" s="35"/>
      <c r="J1774" s="454" t="str">
        <f>C1774</f>
        <v xml:space="preserve">II </v>
      </c>
      <c r="K1774" s="59" t="str">
        <f>D1774</f>
        <v>Методическое обеспечение образовательной деятельности</v>
      </c>
      <c r="L1774" s="19"/>
      <c r="M1774" s="19"/>
      <c r="N1774" s="19"/>
      <c r="O1774" s="35"/>
      <c r="P1774" s="35"/>
      <c r="Q1774" s="35"/>
      <c r="R1774" s="454"/>
      <c r="S1774" s="557"/>
      <c r="T1774" s="2"/>
    </row>
    <row r="1775" spans="1:20" ht="92.25" customHeight="1" x14ac:dyDescent="0.35">
      <c r="A1775" s="605"/>
      <c r="B1775" s="541"/>
      <c r="C1775" s="19" t="s">
        <v>28</v>
      </c>
      <c r="D1775" s="41" t="s">
        <v>266</v>
      </c>
      <c r="E1775" s="19" t="s">
        <v>18</v>
      </c>
      <c r="F1775" s="492">
        <v>70</v>
      </c>
      <c r="G1775" s="492">
        <v>100</v>
      </c>
      <c r="H1775" s="24">
        <f>IF(G1775/F1775*100&gt;100,100,G1775/F1775*100)</f>
        <v>100</v>
      </c>
      <c r="I1775" s="493"/>
      <c r="J1775" s="144" t="str">
        <f>C1775</f>
        <v>2.1.</v>
      </c>
      <c r="K1775" s="41" t="s">
        <v>267</v>
      </c>
      <c r="L1775" s="19" t="s">
        <v>41</v>
      </c>
      <c r="M1775" s="492">
        <v>9</v>
      </c>
      <c r="N1775" s="492">
        <v>9</v>
      </c>
      <c r="O1775" s="144">
        <f>IF(N1775/M1775*100&gt;110,110,N1775/M1775*100)</f>
        <v>100</v>
      </c>
      <c r="P1775" s="493"/>
      <c r="Q1775" s="493"/>
      <c r="R1775" s="454"/>
      <c r="S1775" s="557"/>
      <c r="T1775" s="2"/>
    </row>
    <row r="1776" spans="1:20" ht="33" x14ac:dyDescent="0.35">
      <c r="A1776" s="605"/>
      <c r="B1776" s="541"/>
      <c r="C1776" s="19" t="s">
        <v>30</v>
      </c>
      <c r="D1776" s="494" t="s">
        <v>268</v>
      </c>
      <c r="E1776" s="19" t="s">
        <v>18</v>
      </c>
      <c r="F1776" s="19">
        <v>90</v>
      </c>
      <c r="G1776" s="492">
        <v>100</v>
      </c>
      <c r="H1776" s="24">
        <f>IF(G1776/F1776*100&gt;100,100,G1776/F1776*100)</f>
        <v>100</v>
      </c>
      <c r="I1776" s="35"/>
      <c r="J1776" s="144" t="str">
        <f>C1776</f>
        <v>2.2.</v>
      </c>
      <c r="K1776" s="76" t="s">
        <v>269</v>
      </c>
      <c r="L1776" s="19" t="s">
        <v>41</v>
      </c>
      <c r="M1776" s="492">
        <v>3</v>
      </c>
      <c r="N1776" s="492">
        <v>3</v>
      </c>
      <c r="O1776" s="144">
        <f>IF(N1776/M1776*100&gt;110,110,N1776/M1776*100)</f>
        <v>100</v>
      </c>
      <c r="P1776" s="35"/>
      <c r="Q1776" s="35"/>
      <c r="R1776" s="495"/>
      <c r="S1776" s="557"/>
      <c r="T1776" s="2"/>
    </row>
    <row r="1777" spans="1:20" x14ac:dyDescent="0.35">
      <c r="A1777" s="605"/>
      <c r="B1777" s="541"/>
      <c r="C1777" s="454"/>
      <c r="D1777" s="496"/>
      <c r="E1777" s="454"/>
      <c r="F1777" s="19"/>
      <c r="G1777" s="19"/>
      <c r="H1777" s="35"/>
      <c r="I1777" s="35"/>
      <c r="J1777" s="144" t="s">
        <v>34</v>
      </c>
      <c r="K1777" s="76" t="s">
        <v>270</v>
      </c>
      <c r="L1777" s="19" t="s">
        <v>41</v>
      </c>
      <c r="M1777" s="492">
        <v>3</v>
      </c>
      <c r="N1777" s="492">
        <v>3</v>
      </c>
      <c r="O1777" s="144">
        <f>IF(N1777/M1777*100&gt;110,110,N1777/M1777*100)</f>
        <v>100</v>
      </c>
      <c r="P1777" s="35"/>
      <c r="Q1777" s="35"/>
      <c r="R1777" s="495"/>
      <c r="S1777" s="557"/>
      <c r="T1777" s="2"/>
    </row>
    <row r="1778" spans="1:20" s="1" customFormat="1" ht="45.75" customHeight="1" x14ac:dyDescent="0.35">
      <c r="A1778" s="605"/>
      <c r="B1778" s="541"/>
      <c r="C1778" s="465"/>
      <c r="D1778" s="466" t="s">
        <v>644</v>
      </c>
      <c r="E1778" s="465"/>
      <c r="F1778" s="20"/>
      <c r="G1778" s="20"/>
      <c r="H1778" s="18"/>
      <c r="I1778" s="18">
        <f>H1775</f>
        <v>100</v>
      </c>
      <c r="J1778" s="128"/>
      <c r="K1778" s="466" t="s">
        <v>644</v>
      </c>
      <c r="L1778" s="20"/>
      <c r="M1778" s="124"/>
      <c r="N1778" s="124"/>
      <c r="O1778" s="18"/>
      <c r="P1778" s="18">
        <f>(O1776+O1775+O1777)/3</f>
        <v>100</v>
      </c>
      <c r="Q1778" s="18">
        <f>(P1778+I1778)/2</f>
        <v>100</v>
      </c>
      <c r="R1778" s="465" t="s">
        <v>25</v>
      </c>
      <c r="S1778" s="557"/>
      <c r="T1778" s="2"/>
    </row>
    <row r="1779" spans="1:20" x14ac:dyDescent="0.35">
      <c r="B1779" s="219"/>
      <c r="C1779" s="220"/>
      <c r="D1779" s="221"/>
      <c r="E1779" s="222"/>
      <c r="F1779" s="222"/>
      <c r="G1779" s="222"/>
      <c r="H1779" s="606"/>
      <c r="I1779" s="606"/>
      <c r="J1779" s="220"/>
      <c r="K1779" s="221"/>
      <c r="L1779" s="220"/>
      <c r="M1779" s="206"/>
      <c r="N1779" s="206"/>
      <c r="O1779" s="220"/>
      <c r="P1779" s="220"/>
      <c r="Q1779" s="220"/>
      <c r="S1779" s="449"/>
    </row>
  </sheetData>
  <mergeCells count="390">
    <mergeCell ref="A505:A517"/>
    <mergeCell ref="A518:A531"/>
    <mergeCell ref="A532:A545"/>
    <mergeCell ref="A377:A393"/>
    <mergeCell ref="A394:A407"/>
    <mergeCell ref="A408:A421"/>
    <mergeCell ref="A422:A435"/>
    <mergeCell ref="A436:A449"/>
    <mergeCell ref="A450:A463"/>
    <mergeCell ref="A464:A477"/>
    <mergeCell ref="A478:A490"/>
    <mergeCell ref="A491:A504"/>
    <mergeCell ref="A293:A305"/>
    <mergeCell ref="B293:B305"/>
    <mergeCell ref="P312:P313"/>
    <mergeCell ref="Q312:Q313"/>
    <mergeCell ref="S505:S517"/>
    <mergeCell ref="J239:J240"/>
    <mergeCell ref="K239:K240"/>
    <mergeCell ref="L239:L240"/>
    <mergeCell ref="M239:M240"/>
    <mergeCell ref="N239:N240"/>
    <mergeCell ref="O239:O240"/>
    <mergeCell ref="O268:O269"/>
    <mergeCell ref="S293:S305"/>
    <mergeCell ref="S333:S346"/>
    <mergeCell ref="B347:B360"/>
    <mergeCell ref="S347:S360"/>
    <mergeCell ref="B361:B376"/>
    <mergeCell ref="S361:S376"/>
    <mergeCell ref="J383:J384"/>
    <mergeCell ref="K383:K384"/>
    <mergeCell ref="L383:L384"/>
    <mergeCell ref="M383:M384"/>
    <mergeCell ref="N383:N384"/>
    <mergeCell ref="O383:O384"/>
    <mergeCell ref="P383:P384"/>
    <mergeCell ref="L339:L340"/>
    <mergeCell ref="M339:M340"/>
    <mergeCell ref="N339:N340"/>
    <mergeCell ref="O339:O340"/>
    <mergeCell ref="K339:K340"/>
    <mergeCell ref="N367:N368"/>
    <mergeCell ref="O367:O368"/>
    <mergeCell ref="P339:P340"/>
    <mergeCell ref="P367:P368"/>
    <mergeCell ref="A29:A45"/>
    <mergeCell ref="A12:A28"/>
    <mergeCell ref="A119:A132"/>
    <mergeCell ref="B119:B132"/>
    <mergeCell ref="A164:A177"/>
    <mergeCell ref="B164:B177"/>
    <mergeCell ref="A220:A232"/>
    <mergeCell ref="B220:B232"/>
    <mergeCell ref="B92:B104"/>
    <mergeCell ref="A133:A149"/>
    <mergeCell ref="A150:A163"/>
    <mergeCell ref="A75:A91"/>
    <mergeCell ref="A46:A61"/>
    <mergeCell ref="B12:B28"/>
    <mergeCell ref="B1685:B1701"/>
    <mergeCell ref="S1685:S1701"/>
    <mergeCell ref="A1612:A1642"/>
    <mergeCell ref="A1466:A1493"/>
    <mergeCell ref="B1466:B1493"/>
    <mergeCell ref="S1466:S1493"/>
    <mergeCell ref="A1494:A1521"/>
    <mergeCell ref="B1494:B1521"/>
    <mergeCell ref="S1494:S1521"/>
    <mergeCell ref="B1612:B1642"/>
    <mergeCell ref="S1612:S1642"/>
    <mergeCell ref="A1522:A1552"/>
    <mergeCell ref="B1522:B1552"/>
    <mergeCell ref="S1522:S1552"/>
    <mergeCell ref="A1553:A1583"/>
    <mergeCell ref="B1553:B1583"/>
    <mergeCell ref="S1553:S1583"/>
    <mergeCell ref="A1643:A1670"/>
    <mergeCell ref="B1643:B1670"/>
    <mergeCell ref="S1643:S1670"/>
    <mergeCell ref="H1779:I1779"/>
    <mergeCell ref="A1702:A1718"/>
    <mergeCell ref="B1702:B1718"/>
    <mergeCell ref="S1702:S1718"/>
    <mergeCell ref="E1678:E1679"/>
    <mergeCell ref="F1678:F1679"/>
    <mergeCell ref="M1678:M1679"/>
    <mergeCell ref="N1678:N1679"/>
    <mergeCell ref="O1678:O1679"/>
    <mergeCell ref="P1678:P1679"/>
    <mergeCell ref="G1678:G1679"/>
    <mergeCell ref="H1678:H1679"/>
    <mergeCell ref="I1678:I1679"/>
    <mergeCell ref="J1678:J1679"/>
    <mergeCell ref="K1678:K1679"/>
    <mergeCell ref="A1671:A1684"/>
    <mergeCell ref="B1671:B1684"/>
    <mergeCell ref="S1671:S1684"/>
    <mergeCell ref="C1678:C1679"/>
    <mergeCell ref="D1678:D1679"/>
    <mergeCell ref="Q1678:Q1679"/>
    <mergeCell ref="R1678:R1679"/>
    <mergeCell ref="L1678:L1679"/>
    <mergeCell ref="A1685:A1701"/>
    <mergeCell ref="A1756:A1770"/>
    <mergeCell ref="B1756:B1770"/>
    <mergeCell ref="S1756:S1770"/>
    <mergeCell ref="A1771:A1778"/>
    <mergeCell ref="B1771:B1778"/>
    <mergeCell ref="S1771:S1778"/>
    <mergeCell ref="A1719:A1736"/>
    <mergeCell ref="B1719:B1736"/>
    <mergeCell ref="S1719:S1736"/>
    <mergeCell ref="A1737:A1755"/>
    <mergeCell ref="B1737:B1755"/>
    <mergeCell ref="S1737:S1755"/>
    <mergeCell ref="A1404:A1431"/>
    <mergeCell ref="B1404:B1431"/>
    <mergeCell ref="S1404:S1431"/>
    <mergeCell ref="A1432:A1465"/>
    <mergeCell ref="B1432:B1465"/>
    <mergeCell ref="S1432:S1465"/>
    <mergeCell ref="A1584:A1611"/>
    <mergeCell ref="B1584:B1611"/>
    <mergeCell ref="S1584:S1611"/>
    <mergeCell ref="A1348:A1375"/>
    <mergeCell ref="B1348:B1375"/>
    <mergeCell ref="S1348:S1375"/>
    <mergeCell ref="A1376:A1403"/>
    <mergeCell ref="B1376:B1403"/>
    <mergeCell ref="S1376:S1403"/>
    <mergeCell ref="A1289:A1319"/>
    <mergeCell ref="B1289:B1319"/>
    <mergeCell ref="S1289:S1319"/>
    <mergeCell ref="A1320:A1347"/>
    <mergeCell ref="B1320:B1347"/>
    <mergeCell ref="S1320:S1347"/>
    <mergeCell ref="A1215:A1248"/>
    <mergeCell ref="B1215:B1248"/>
    <mergeCell ref="S1215:S1248"/>
    <mergeCell ref="A1249:A1288"/>
    <mergeCell ref="B1249:B1288"/>
    <mergeCell ref="S1249:S1288"/>
    <mergeCell ref="A1147:A1183"/>
    <mergeCell ref="B1147:B1183"/>
    <mergeCell ref="S1147:S1183"/>
    <mergeCell ref="A1184:A1214"/>
    <mergeCell ref="B1184:B1214"/>
    <mergeCell ref="S1184:S1214"/>
    <mergeCell ref="A1091:A1118"/>
    <mergeCell ref="B1091:B1118"/>
    <mergeCell ref="S1091:S1118"/>
    <mergeCell ref="A1119:A1146"/>
    <mergeCell ref="B1119:B1146"/>
    <mergeCell ref="S1119:S1146"/>
    <mergeCell ref="A1023:A1056"/>
    <mergeCell ref="B1023:B1056"/>
    <mergeCell ref="S1023:S1056"/>
    <mergeCell ref="A1057:A1090"/>
    <mergeCell ref="B1057:B1090"/>
    <mergeCell ref="S1057:S1090"/>
    <mergeCell ref="A961:A988"/>
    <mergeCell ref="B961:B988"/>
    <mergeCell ref="S961:S988"/>
    <mergeCell ref="A989:A1022"/>
    <mergeCell ref="B989:B1022"/>
    <mergeCell ref="S989:S1022"/>
    <mergeCell ref="A899:A929"/>
    <mergeCell ref="B899:B929"/>
    <mergeCell ref="S899:S929"/>
    <mergeCell ref="A930:A960"/>
    <mergeCell ref="B930:B960"/>
    <mergeCell ref="S930:S960"/>
    <mergeCell ref="A834:A867"/>
    <mergeCell ref="B834:B867"/>
    <mergeCell ref="S834:S867"/>
    <mergeCell ref="A868:A898"/>
    <mergeCell ref="B868:B898"/>
    <mergeCell ref="S868:S898"/>
    <mergeCell ref="A772:A805"/>
    <mergeCell ref="B772:B805"/>
    <mergeCell ref="S772:S805"/>
    <mergeCell ref="A806:A833"/>
    <mergeCell ref="B806:B833"/>
    <mergeCell ref="S806:S833"/>
    <mergeCell ref="A716:A743"/>
    <mergeCell ref="B716:B743"/>
    <mergeCell ref="S716:S743"/>
    <mergeCell ref="A744:A771"/>
    <mergeCell ref="B744:B771"/>
    <mergeCell ref="S744:S771"/>
    <mergeCell ref="A657:A687"/>
    <mergeCell ref="B657:B687"/>
    <mergeCell ref="S657:S687"/>
    <mergeCell ref="A688:A715"/>
    <mergeCell ref="B688:B715"/>
    <mergeCell ref="S688:S715"/>
    <mergeCell ref="S491:S504"/>
    <mergeCell ref="B505:B517"/>
    <mergeCell ref="B518:B531"/>
    <mergeCell ref="A577:A610"/>
    <mergeCell ref="B577:B610"/>
    <mergeCell ref="S577:S610"/>
    <mergeCell ref="A611:A656"/>
    <mergeCell ref="B611:B656"/>
    <mergeCell ref="S611:S656"/>
    <mergeCell ref="A546:A576"/>
    <mergeCell ref="B546:B576"/>
    <mergeCell ref="S546:S576"/>
    <mergeCell ref="B532:B545"/>
    <mergeCell ref="S532:S545"/>
    <mergeCell ref="S518:S531"/>
    <mergeCell ref="Q524:Q525"/>
    <mergeCell ref="R524:R525"/>
    <mergeCell ref="J524:J525"/>
    <mergeCell ref="K524:K525"/>
    <mergeCell ref="L524:L525"/>
    <mergeCell ref="M524:M525"/>
    <mergeCell ref="O524:O525"/>
    <mergeCell ref="P524:P525"/>
    <mergeCell ref="N524:N525"/>
    <mergeCell ref="R414:R415"/>
    <mergeCell ref="B408:B421"/>
    <mergeCell ref="S408:S421"/>
    <mergeCell ref="B422:B435"/>
    <mergeCell ref="S422:S435"/>
    <mergeCell ref="B436:B449"/>
    <mergeCell ref="S436:S449"/>
    <mergeCell ref="B464:B477"/>
    <mergeCell ref="S464:S477"/>
    <mergeCell ref="B450:B463"/>
    <mergeCell ref="S450:S463"/>
    <mergeCell ref="B478:B490"/>
    <mergeCell ref="S478:S490"/>
    <mergeCell ref="B491:B504"/>
    <mergeCell ref="Q367:Q368"/>
    <mergeCell ref="R367:R368"/>
    <mergeCell ref="P282:P283"/>
    <mergeCell ref="B394:B407"/>
    <mergeCell ref="S394:S407"/>
    <mergeCell ref="J414:J415"/>
    <mergeCell ref="K414:K415"/>
    <mergeCell ref="L414:L415"/>
    <mergeCell ref="M414:M415"/>
    <mergeCell ref="N414:N415"/>
    <mergeCell ref="O414:O415"/>
    <mergeCell ref="P414:P415"/>
    <mergeCell ref="Q414:Q415"/>
    <mergeCell ref="Q383:Q384"/>
    <mergeCell ref="R383:R384"/>
    <mergeCell ref="B377:B393"/>
    <mergeCell ref="S377:S393"/>
    <mergeCell ref="J282:J283"/>
    <mergeCell ref="K282:K283"/>
    <mergeCell ref="L282:L283"/>
    <mergeCell ref="M282:M283"/>
    <mergeCell ref="A347:A360"/>
    <mergeCell ref="A361:A376"/>
    <mergeCell ref="S306:S318"/>
    <mergeCell ref="A319:A332"/>
    <mergeCell ref="B319:B332"/>
    <mergeCell ref="S319:S332"/>
    <mergeCell ref="R312:R313"/>
    <mergeCell ref="N312:N313"/>
    <mergeCell ref="O312:O313"/>
    <mergeCell ref="J367:J368"/>
    <mergeCell ref="K367:K368"/>
    <mergeCell ref="L367:L368"/>
    <mergeCell ref="M367:M368"/>
    <mergeCell ref="L312:L313"/>
    <mergeCell ref="M312:M313"/>
    <mergeCell ref="J339:J340"/>
    <mergeCell ref="B333:B346"/>
    <mergeCell ref="J312:J313"/>
    <mergeCell ref="K312:K313"/>
    <mergeCell ref="B306:B318"/>
    <mergeCell ref="Q339:Q340"/>
    <mergeCell ref="R339:R340"/>
    <mergeCell ref="A306:A318"/>
    <mergeCell ref="A333:A346"/>
    <mergeCell ref="Q156:Q157"/>
    <mergeCell ref="R156:R157"/>
    <mergeCell ref="O253:O254"/>
    <mergeCell ref="P253:P254"/>
    <mergeCell ref="Q253:Q254"/>
    <mergeCell ref="S276:S292"/>
    <mergeCell ref="C268:C269"/>
    <mergeCell ref="D268:D269"/>
    <mergeCell ref="E268:E269"/>
    <mergeCell ref="F268:F269"/>
    <mergeCell ref="O282:O283"/>
    <mergeCell ref="N282:N283"/>
    <mergeCell ref="J253:J254"/>
    <mergeCell ref="K253:K254"/>
    <mergeCell ref="L253:L254"/>
    <mergeCell ref="M253:M254"/>
    <mergeCell ref="N253:N254"/>
    <mergeCell ref="Q282:Q283"/>
    <mergeCell ref="R282:R283"/>
    <mergeCell ref="K156:K157"/>
    <mergeCell ref="L156:L157"/>
    <mergeCell ref="M156:M157"/>
    <mergeCell ref="S46:S61"/>
    <mergeCell ref="B46:B61"/>
    <mergeCell ref="A62:A74"/>
    <mergeCell ref="B62:B74"/>
    <mergeCell ref="M52:M53"/>
    <mergeCell ref="A92:A104"/>
    <mergeCell ref="O52:O53"/>
    <mergeCell ref="P52:P53"/>
    <mergeCell ref="C111:C112"/>
    <mergeCell ref="D111:D112"/>
    <mergeCell ref="N52:N53"/>
    <mergeCell ref="H111:H112"/>
    <mergeCell ref="I111:I112"/>
    <mergeCell ref="A105:A118"/>
    <mergeCell ref="B105:B118"/>
    <mergeCell ref="S105:S118"/>
    <mergeCell ref="E111:E112"/>
    <mergeCell ref="F111:F112"/>
    <mergeCell ref="S92:S104"/>
    <mergeCell ref="G111:G112"/>
    <mergeCell ref="Q9:S9"/>
    <mergeCell ref="B2:Q2"/>
    <mergeCell ref="B3:Q3"/>
    <mergeCell ref="B4:Q4"/>
    <mergeCell ref="B5:Q5"/>
    <mergeCell ref="B6:Q6"/>
    <mergeCell ref="A8:A10"/>
    <mergeCell ref="B8:B10"/>
    <mergeCell ref="D8:S8"/>
    <mergeCell ref="D9:I9"/>
    <mergeCell ref="J9:P9"/>
    <mergeCell ref="S12:S28"/>
    <mergeCell ref="B29:B45"/>
    <mergeCell ref="S29:S45"/>
    <mergeCell ref="Q52:Q53"/>
    <mergeCell ref="R52:R53"/>
    <mergeCell ref="S247:S261"/>
    <mergeCell ref="R239:R240"/>
    <mergeCell ref="S119:S132"/>
    <mergeCell ref="J52:J53"/>
    <mergeCell ref="K52:K53"/>
    <mergeCell ref="L52:L53"/>
    <mergeCell ref="S62:S74"/>
    <mergeCell ref="S75:S91"/>
    <mergeCell ref="B75:B91"/>
    <mergeCell ref="B133:B149"/>
    <mergeCell ref="S133:S149"/>
    <mergeCell ref="B150:B163"/>
    <mergeCell ref="S150:S163"/>
    <mergeCell ref="N156:N157"/>
    <mergeCell ref="O156:O157"/>
    <mergeCell ref="P239:P240"/>
    <mergeCell ref="B233:B246"/>
    <mergeCell ref="P156:P157"/>
    <mergeCell ref="J156:J157"/>
    <mergeCell ref="A233:A246"/>
    <mergeCell ref="L268:L269"/>
    <mergeCell ref="M268:M269"/>
    <mergeCell ref="N268:N269"/>
    <mergeCell ref="S164:S177"/>
    <mergeCell ref="A178:A190"/>
    <mergeCell ref="B178:B190"/>
    <mergeCell ref="S178:S190"/>
    <mergeCell ref="A191:A203"/>
    <mergeCell ref="B191:B203"/>
    <mergeCell ref="P268:P269"/>
    <mergeCell ref="Q268:Q269"/>
    <mergeCell ref="R268:R269"/>
    <mergeCell ref="S262:S275"/>
    <mergeCell ref="S191:S203"/>
    <mergeCell ref="A204:A219"/>
    <mergeCell ref="B204:B219"/>
    <mergeCell ref="S204:S219"/>
    <mergeCell ref="R253:R254"/>
    <mergeCell ref="Q239:Q240"/>
    <mergeCell ref="S220:S232"/>
    <mergeCell ref="S233:S246"/>
    <mergeCell ref="A247:A261"/>
    <mergeCell ref="B247:B261"/>
    <mergeCell ref="A276:A292"/>
    <mergeCell ref="B276:B292"/>
    <mergeCell ref="G268:G269"/>
    <mergeCell ref="H268:H269"/>
    <mergeCell ref="I268:I269"/>
    <mergeCell ref="A262:A275"/>
    <mergeCell ref="B262:B275"/>
    <mergeCell ref="J268:J269"/>
    <mergeCell ref="K268:K269"/>
  </mergeCells>
  <printOptions horizontalCentered="1"/>
  <pageMargins left="0.31496062992125984" right="0.19685039370078741" top="0.19685039370078741" bottom="0.19685039370078741" header="0.31496062992125984" footer="0.31496062992125984"/>
  <pageSetup paperSize="9" scale="28" fitToHeight="0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55"/>
  <sheetViews>
    <sheetView view="pageBreakPreview" zoomScale="60" zoomScaleNormal="70" workbookViewId="0">
      <selection activeCell="C48" sqref="C48"/>
    </sheetView>
  </sheetViews>
  <sheetFormatPr defaultRowHeight="16.5" x14ac:dyDescent="0.25"/>
  <cols>
    <col min="1" max="1" width="10.42578125" style="352" bestFit="1" customWidth="1"/>
    <col min="2" max="2" width="38.140625" style="354" customWidth="1"/>
    <col min="3" max="3" width="18.85546875" style="352" customWidth="1"/>
    <col min="4" max="5" width="12.140625" style="352" customWidth="1"/>
    <col min="6" max="6" width="12.140625" style="353" customWidth="1"/>
    <col min="7" max="7" width="12.140625" style="352" customWidth="1"/>
    <col min="8" max="8" width="12.5703125" style="352" customWidth="1"/>
    <col min="9" max="9" width="40.7109375" style="354" customWidth="1"/>
    <col min="10" max="10" width="16.5703125" style="352" customWidth="1"/>
    <col min="11" max="12" width="14.5703125" style="352" customWidth="1"/>
    <col min="13" max="13" width="12.5703125" style="353" customWidth="1"/>
    <col min="14" max="14" width="14.85546875" style="352" customWidth="1"/>
    <col min="15" max="15" width="17.85546875" style="352" customWidth="1"/>
    <col min="16" max="16" width="33.5703125" style="352" customWidth="1"/>
    <col min="17" max="17" width="32.28515625" style="351" customWidth="1"/>
    <col min="18" max="256" width="9.140625" style="351"/>
    <col min="257" max="257" width="10.42578125" style="351" bestFit="1" customWidth="1"/>
    <col min="258" max="258" width="38.140625" style="351" customWidth="1"/>
    <col min="259" max="259" width="18.85546875" style="351" customWidth="1"/>
    <col min="260" max="263" width="12.140625" style="351" customWidth="1"/>
    <col min="264" max="264" width="12.5703125" style="351" customWidth="1"/>
    <col min="265" max="265" width="40.7109375" style="351" customWidth="1"/>
    <col min="266" max="266" width="16.5703125" style="351" customWidth="1"/>
    <col min="267" max="268" width="14.5703125" style="351" customWidth="1"/>
    <col min="269" max="269" width="12.5703125" style="351" customWidth="1"/>
    <col min="270" max="270" width="14.85546875" style="351" customWidth="1"/>
    <col min="271" max="271" width="17.85546875" style="351" customWidth="1"/>
    <col min="272" max="272" width="33.5703125" style="351" customWidth="1"/>
    <col min="273" max="273" width="32.28515625" style="351" customWidth="1"/>
    <col min="274" max="512" width="9.140625" style="351"/>
    <col min="513" max="513" width="10.42578125" style="351" bestFit="1" customWidth="1"/>
    <col min="514" max="514" width="38.140625" style="351" customWidth="1"/>
    <col min="515" max="515" width="18.85546875" style="351" customWidth="1"/>
    <col min="516" max="519" width="12.140625" style="351" customWidth="1"/>
    <col min="520" max="520" width="12.5703125" style="351" customWidth="1"/>
    <col min="521" max="521" width="40.7109375" style="351" customWidth="1"/>
    <col min="522" max="522" width="16.5703125" style="351" customWidth="1"/>
    <col min="523" max="524" width="14.5703125" style="351" customWidth="1"/>
    <col min="525" max="525" width="12.5703125" style="351" customWidth="1"/>
    <col min="526" max="526" width="14.85546875" style="351" customWidth="1"/>
    <col min="527" max="527" width="17.85546875" style="351" customWidth="1"/>
    <col min="528" max="528" width="33.5703125" style="351" customWidth="1"/>
    <col min="529" max="529" width="32.28515625" style="351" customWidth="1"/>
    <col min="530" max="768" width="9.140625" style="351"/>
    <col min="769" max="769" width="10.42578125" style="351" bestFit="1" customWidth="1"/>
    <col min="770" max="770" width="38.140625" style="351" customWidth="1"/>
    <col min="771" max="771" width="18.85546875" style="351" customWidth="1"/>
    <col min="772" max="775" width="12.140625" style="351" customWidth="1"/>
    <col min="776" max="776" width="12.5703125" style="351" customWidth="1"/>
    <col min="777" max="777" width="40.7109375" style="351" customWidth="1"/>
    <col min="778" max="778" width="16.5703125" style="351" customWidth="1"/>
    <col min="779" max="780" width="14.5703125" style="351" customWidth="1"/>
    <col min="781" max="781" width="12.5703125" style="351" customWidth="1"/>
    <col min="782" max="782" width="14.85546875" style="351" customWidth="1"/>
    <col min="783" max="783" width="17.85546875" style="351" customWidth="1"/>
    <col min="784" max="784" width="33.5703125" style="351" customWidth="1"/>
    <col min="785" max="785" width="32.28515625" style="351" customWidth="1"/>
    <col min="786" max="1024" width="9.140625" style="351"/>
    <col min="1025" max="1025" width="10.42578125" style="351" bestFit="1" customWidth="1"/>
    <col min="1026" max="1026" width="38.140625" style="351" customWidth="1"/>
    <col min="1027" max="1027" width="18.85546875" style="351" customWidth="1"/>
    <col min="1028" max="1031" width="12.140625" style="351" customWidth="1"/>
    <col min="1032" max="1032" width="12.5703125" style="351" customWidth="1"/>
    <col min="1033" max="1033" width="40.7109375" style="351" customWidth="1"/>
    <col min="1034" max="1034" width="16.5703125" style="351" customWidth="1"/>
    <col min="1035" max="1036" width="14.5703125" style="351" customWidth="1"/>
    <col min="1037" max="1037" width="12.5703125" style="351" customWidth="1"/>
    <col min="1038" max="1038" width="14.85546875" style="351" customWidth="1"/>
    <col min="1039" max="1039" width="17.85546875" style="351" customWidth="1"/>
    <col min="1040" max="1040" width="33.5703125" style="351" customWidth="1"/>
    <col min="1041" max="1041" width="32.28515625" style="351" customWidth="1"/>
    <col min="1042" max="1280" width="9.140625" style="351"/>
    <col min="1281" max="1281" width="10.42578125" style="351" bestFit="1" customWidth="1"/>
    <col min="1282" max="1282" width="38.140625" style="351" customWidth="1"/>
    <col min="1283" max="1283" width="18.85546875" style="351" customWidth="1"/>
    <col min="1284" max="1287" width="12.140625" style="351" customWidth="1"/>
    <col min="1288" max="1288" width="12.5703125" style="351" customWidth="1"/>
    <col min="1289" max="1289" width="40.7109375" style="351" customWidth="1"/>
    <col min="1290" max="1290" width="16.5703125" style="351" customWidth="1"/>
    <col min="1291" max="1292" width="14.5703125" style="351" customWidth="1"/>
    <col min="1293" max="1293" width="12.5703125" style="351" customWidth="1"/>
    <col min="1294" max="1294" width="14.85546875" style="351" customWidth="1"/>
    <col min="1295" max="1295" width="17.85546875" style="351" customWidth="1"/>
    <col min="1296" max="1296" width="33.5703125" style="351" customWidth="1"/>
    <col min="1297" max="1297" width="32.28515625" style="351" customWidth="1"/>
    <col min="1298" max="1536" width="9.140625" style="351"/>
    <col min="1537" max="1537" width="10.42578125" style="351" bestFit="1" customWidth="1"/>
    <col min="1538" max="1538" width="38.140625" style="351" customWidth="1"/>
    <col min="1539" max="1539" width="18.85546875" style="351" customWidth="1"/>
    <col min="1540" max="1543" width="12.140625" style="351" customWidth="1"/>
    <col min="1544" max="1544" width="12.5703125" style="351" customWidth="1"/>
    <col min="1545" max="1545" width="40.7109375" style="351" customWidth="1"/>
    <col min="1546" max="1546" width="16.5703125" style="351" customWidth="1"/>
    <col min="1547" max="1548" width="14.5703125" style="351" customWidth="1"/>
    <col min="1549" max="1549" width="12.5703125" style="351" customWidth="1"/>
    <col min="1550" max="1550" width="14.85546875" style="351" customWidth="1"/>
    <col min="1551" max="1551" width="17.85546875" style="351" customWidth="1"/>
    <col min="1552" max="1552" width="33.5703125" style="351" customWidth="1"/>
    <col min="1553" max="1553" width="32.28515625" style="351" customWidth="1"/>
    <col min="1554" max="1792" width="9.140625" style="351"/>
    <col min="1793" max="1793" width="10.42578125" style="351" bestFit="1" customWidth="1"/>
    <col min="1794" max="1794" width="38.140625" style="351" customWidth="1"/>
    <col min="1795" max="1795" width="18.85546875" style="351" customWidth="1"/>
    <col min="1796" max="1799" width="12.140625" style="351" customWidth="1"/>
    <col min="1800" max="1800" width="12.5703125" style="351" customWidth="1"/>
    <col min="1801" max="1801" width="40.7109375" style="351" customWidth="1"/>
    <col min="1802" max="1802" width="16.5703125" style="351" customWidth="1"/>
    <col min="1803" max="1804" width="14.5703125" style="351" customWidth="1"/>
    <col min="1805" max="1805" width="12.5703125" style="351" customWidth="1"/>
    <col min="1806" max="1806" width="14.85546875" style="351" customWidth="1"/>
    <col min="1807" max="1807" width="17.85546875" style="351" customWidth="1"/>
    <col min="1808" max="1808" width="33.5703125" style="351" customWidth="1"/>
    <col min="1809" max="1809" width="32.28515625" style="351" customWidth="1"/>
    <col min="1810" max="2048" width="9.140625" style="351"/>
    <col min="2049" max="2049" width="10.42578125" style="351" bestFit="1" customWidth="1"/>
    <col min="2050" max="2050" width="38.140625" style="351" customWidth="1"/>
    <col min="2051" max="2051" width="18.85546875" style="351" customWidth="1"/>
    <col min="2052" max="2055" width="12.140625" style="351" customWidth="1"/>
    <col min="2056" max="2056" width="12.5703125" style="351" customWidth="1"/>
    <col min="2057" max="2057" width="40.7109375" style="351" customWidth="1"/>
    <col min="2058" max="2058" width="16.5703125" style="351" customWidth="1"/>
    <col min="2059" max="2060" width="14.5703125" style="351" customWidth="1"/>
    <col min="2061" max="2061" width="12.5703125" style="351" customWidth="1"/>
    <col min="2062" max="2062" width="14.85546875" style="351" customWidth="1"/>
    <col min="2063" max="2063" width="17.85546875" style="351" customWidth="1"/>
    <col min="2064" max="2064" width="33.5703125" style="351" customWidth="1"/>
    <col min="2065" max="2065" width="32.28515625" style="351" customWidth="1"/>
    <col min="2066" max="2304" width="9.140625" style="351"/>
    <col min="2305" max="2305" width="10.42578125" style="351" bestFit="1" customWidth="1"/>
    <col min="2306" max="2306" width="38.140625" style="351" customWidth="1"/>
    <col min="2307" max="2307" width="18.85546875" style="351" customWidth="1"/>
    <col min="2308" max="2311" width="12.140625" style="351" customWidth="1"/>
    <col min="2312" max="2312" width="12.5703125" style="351" customWidth="1"/>
    <col min="2313" max="2313" width="40.7109375" style="351" customWidth="1"/>
    <col min="2314" max="2314" width="16.5703125" style="351" customWidth="1"/>
    <col min="2315" max="2316" width="14.5703125" style="351" customWidth="1"/>
    <col min="2317" max="2317" width="12.5703125" style="351" customWidth="1"/>
    <col min="2318" max="2318" width="14.85546875" style="351" customWidth="1"/>
    <col min="2319" max="2319" width="17.85546875" style="351" customWidth="1"/>
    <col min="2320" max="2320" width="33.5703125" style="351" customWidth="1"/>
    <col min="2321" max="2321" width="32.28515625" style="351" customWidth="1"/>
    <col min="2322" max="2560" width="9.140625" style="351"/>
    <col min="2561" max="2561" width="10.42578125" style="351" bestFit="1" customWidth="1"/>
    <col min="2562" max="2562" width="38.140625" style="351" customWidth="1"/>
    <col min="2563" max="2563" width="18.85546875" style="351" customWidth="1"/>
    <col min="2564" max="2567" width="12.140625" style="351" customWidth="1"/>
    <col min="2568" max="2568" width="12.5703125" style="351" customWidth="1"/>
    <col min="2569" max="2569" width="40.7109375" style="351" customWidth="1"/>
    <col min="2570" max="2570" width="16.5703125" style="351" customWidth="1"/>
    <col min="2571" max="2572" width="14.5703125" style="351" customWidth="1"/>
    <col min="2573" max="2573" width="12.5703125" style="351" customWidth="1"/>
    <col min="2574" max="2574" width="14.85546875" style="351" customWidth="1"/>
    <col min="2575" max="2575" width="17.85546875" style="351" customWidth="1"/>
    <col min="2576" max="2576" width="33.5703125" style="351" customWidth="1"/>
    <col min="2577" max="2577" width="32.28515625" style="351" customWidth="1"/>
    <col min="2578" max="2816" width="9.140625" style="351"/>
    <col min="2817" max="2817" width="10.42578125" style="351" bestFit="1" customWidth="1"/>
    <col min="2818" max="2818" width="38.140625" style="351" customWidth="1"/>
    <col min="2819" max="2819" width="18.85546875" style="351" customWidth="1"/>
    <col min="2820" max="2823" width="12.140625" style="351" customWidth="1"/>
    <col min="2824" max="2824" width="12.5703125" style="351" customWidth="1"/>
    <col min="2825" max="2825" width="40.7109375" style="351" customWidth="1"/>
    <col min="2826" max="2826" width="16.5703125" style="351" customWidth="1"/>
    <col min="2827" max="2828" width="14.5703125" style="351" customWidth="1"/>
    <col min="2829" max="2829" width="12.5703125" style="351" customWidth="1"/>
    <col min="2830" max="2830" width="14.85546875" style="351" customWidth="1"/>
    <col min="2831" max="2831" width="17.85546875" style="351" customWidth="1"/>
    <col min="2832" max="2832" width="33.5703125" style="351" customWidth="1"/>
    <col min="2833" max="2833" width="32.28515625" style="351" customWidth="1"/>
    <col min="2834" max="3072" width="9.140625" style="351"/>
    <col min="3073" max="3073" width="10.42578125" style="351" bestFit="1" customWidth="1"/>
    <col min="3074" max="3074" width="38.140625" style="351" customWidth="1"/>
    <col min="3075" max="3075" width="18.85546875" style="351" customWidth="1"/>
    <col min="3076" max="3079" width="12.140625" style="351" customWidth="1"/>
    <col min="3080" max="3080" width="12.5703125" style="351" customWidth="1"/>
    <col min="3081" max="3081" width="40.7109375" style="351" customWidth="1"/>
    <col min="3082" max="3082" width="16.5703125" style="351" customWidth="1"/>
    <col min="3083" max="3084" width="14.5703125" style="351" customWidth="1"/>
    <col min="3085" max="3085" width="12.5703125" style="351" customWidth="1"/>
    <col min="3086" max="3086" width="14.85546875" style="351" customWidth="1"/>
    <col min="3087" max="3087" width="17.85546875" style="351" customWidth="1"/>
    <col min="3088" max="3088" width="33.5703125" style="351" customWidth="1"/>
    <col min="3089" max="3089" width="32.28515625" style="351" customWidth="1"/>
    <col min="3090" max="3328" width="9.140625" style="351"/>
    <col min="3329" max="3329" width="10.42578125" style="351" bestFit="1" customWidth="1"/>
    <col min="3330" max="3330" width="38.140625" style="351" customWidth="1"/>
    <col min="3331" max="3331" width="18.85546875" style="351" customWidth="1"/>
    <col min="3332" max="3335" width="12.140625" style="351" customWidth="1"/>
    <col min="3336" max="3336" width="12.5703125" style="351" customWidth="1"/>
    <col min="3337" max="3337" width="40.7109375" style="351" customWidth="1"/>
    <col min="3338" max="3338" width="16.5703125" style="351" customWidth="1"/>
    <col min="3339" max="3340" width="14.5703125" style="351" customWidth="1"/>
    <col min="3341" max="3341" width="12.5703125" style="351" customWidth="1"/>
    <col min="3342" max="3342" width="14.85546875" style="351" customWidth="1"/>
    <col min="3343" max="3343" width="17.85546875" style="351" customWidth="1"/>
    <col min="3344" max="3344" width="33.5703125" style="351" customWidth="1"/>
    <col min="3345" max="3345" width="32.28515625" style="351" customWidth="1"/>
    <col min="3346" max="3584" width="9.140625" style="351"/>
    <col min="3585" max="3585" width="10.42578125" style="351" bestFit="1" customWidth="1"/>
    <col min="3586" max="3586" width="38.140625" style="351" customWidth="1"/>
    <col min="3587" max="3587" width="18.85546875" style="351" customWidth="1"/>
    <col min="3588" max="3591" width="12.140625" style="351" customWidth="1"/>
    <col min="3592" max="3592" width="12.5703125" style="351" customWidth="1"/>
    <col min="3593" max="3593" width="40.7109375" style="351" customWidth="1"/>
    <col min="3594" max="3594" width="16.5703125" style="351" customWidth="1"/>
    <col min="3595" max="3596" width="14.5703125" style="351" customWidth="1"/>
    <col min="3597" max="3597" width="12.5703125" style="351" customWidth="1"/>
    <col min="3598" max="3598" width="14.85546875" style="351" customWidth="1"/>
    <col min="3599" max="3599" width="17.85546875" style="351" customWidth="1"/>
    <col min="3600" max="3600" width="33.5703125" style="351" customWidth="1"/>
    <col min="3601" max="3601" width="32.28515625" style="351" customWidth="1"/>
    <col min="3602" max="3840" width="9.140625" style="351"/>
    <col min="3841" max="3841" width="10.42578125" style="351" bestFit="1" customWidth="1"/>
    <col min="3842" max="3842" width="38.140625" style="351" customWidth="1"/>
    <col min="3843" max="3843" width="18.85546875" style="351" customWidth="1"/>
    <col min="3844" max="3847" width="12.140625" style="351" customWidth="1"/>
    <col min="3848" max="3848" width="12.5703125" style="351" customWidth="1"/>
    <col min="3849" max="3849" width="40.7109375" style="351" customWidth="1"/>
    <col min="3850" max="3850" width="16.5703125" style="351" customWidth="1"/>
    <col min="3851" max="3852" width="14.5703125" style="351" customWidth="1"/>
    <col min="3853" max="3853" width="12.5703125" style="351" customWidth="1"/>
    <col min="3854" max="3854" width="14.85546875" style="351" customWidth="1"/>
    <col min="3855" max="3855" width="17.85546875" style="351" customWidth="1"/>
    <col min="3856" max="3856" width="33.5703125" style="351" customWidth="1"/>
    <col min="3857" max="3857" width="32.28515625" style="351" customWidth="1"/>
    <col min="3858" max="4096" width="9.140625" style="351"/>
    <col min="4097" max="4097" width="10.42578125" style="351" bestFit="1" customWidth="1"/>
    <col min="4098" max="4098" width="38.140625" style="351" customWidth="1"/>
    <col min="4099" max="4099" width="18.85546875" style="351" customWidth="1"/>
    <col min="4100" max="4103" width="12.140625" style="351" customWidth="1"/>
    <col min="4104" max="4104" width="12.5703125" style="351" customWidth="1"/>
    <col min="4105" max="4105" width="40.7109375" style="351" customWidth="1"/>
    <col min="4106" max="4106" width="16.5703125" style="351" customWidth="1"/>
    <col min="4107" max="4108" width="14.5703125" style="351" customWidth="1"/>
    <col min="4109" max="4109" width="12.5703125" style="351" customWidth="1"/>
    <col min="4110" max="4110" width="14.85546875" style="351" customWidth="1"/>
    <col min="4111" max="4111" width="17.85546875" style="351" customWidth="1"/>
    <col min="4112" max="4112" width="33.5703125" style="351" customWidth="1"/>
    <col min="4113" max="4113" width="32.28515625" style="351" customWidth="1"/>
    <col min="4114" max="4352" width="9.140625" style="351"/>
    <col min="4353" max="4353" width="10.42578125" style="351" bestFit="1" customWidth="1"/>
    <col min="4354" max="4354" width="38.140625" style="351" customWidth="1"/>
    <col min="4355" max="4355" width="18.85546875" style="351" customWidth="1"/>
    <col min="4356" max="4359" width="12.140625" style="351" customWidth="1"/>
    <col min="4360" max="4360" width="12.5703125" style="351" customWidth="1"/>
    <col min="4361" max="4361" width="40.7109375" style="351" customWidth="1"/>
    <col min="4362" max="4362" width="16.5703125" style="351" customWidth="1"/>
    <col min="4363" max="4364" width="14.5703125" style="351" customWidth="1"/>
    <col min="4365" max="4365" width="12.5703125" style="351" customWidth="1"/>
    <col min="4366" max="4366" width="14.85546875" style="351" customWidth="1"/>
    <col min="4367" max="4367" width="17.85546875" style="351" customWidth="1"/>
    <col min="4368" max="4368" width="33.5703125" style="351" customWidth="1"/>
    <col min="4369" max="4369" width="32.28515625" style="351" customWidth="1"/>
    <col min="4370" max="4608" width="9.140625" style="351"/>
    <col min="4609" max="4609" width="10.42578125" style="351" bestFit="1" customWidth="1"/>
    <col min="4610" max="4610" width="38.140625" style="351" customWidth="1"/>
    <col min="4611" max="4611" width="18.85546875" style="351" customWidth="1"/>
    <col min="4612" max="4615" width="12.140625" style="351" customWidth="1"/>
    <col min="4616" max="4616" width="12.5703125" style="351" customWidth="1"/>
    <col min="4617" max="4617" width="40.7109375" style="351" customWidth="1"/>
    <col min="4618" max="4618" width="16.5703125" style="351" customWidth="1"/>
    <col min="4619" max="4620" width="14.5703125" style="351" customWidth="1"/>
    <col min="4621" max="4621" width="12.5703125" style="351" customWidth="1"/>
    <col min="4622" max="4622" width="14.85546875" style="351" customWidth="1"/>
    <col min="4623" max="4623" width="17.85546875" style="351" customWidth="1"/>
    <col min="4624" max="4624" width="33.5703125" style="351" customWidth="1"/>
    <col min="4625" max="4625" width="32.28515625" style="351" customWidth="1"/>
    <col min="4626" max="4864" width="9.140625" style="351"/>
    <col min="4865" max="4865" width="10.42578125" style="351" bestFit="1" customWidth="1"/>
    <col min="4866" max="4866" width="38.140625" style="351" customWidth="1"/>
    <col min="4867" max="4867" width="18.85546875" style="351" customWidth="1"/>
    <col min="4868" max="4871" width="12.140625" style="351" customWidth="1"/>
    <col min="4872" max="4872" width="12.5703125" style="351" customWidth="1"/>
    <col min="4873" max="4873" width="40.7109375" style="351" customWidth="1"/>
    <col min="4874" max="4874" width="16.5703125" style="351" customWidth="1"/>
    <col min="4875" max="4876" width="14.5703125" style="351" customWidth="1"/>
    <col min="4877" max="4877" width="12.5703125" style="351" customWidth="1"/>
    <col min="4878" max="4878" width="14.85546875" style="351" customWidth="1"/>
    <col min="4879" max="4879" width="17.85546875" style="351" customWidth="1"/>
    <col min="4880" max="4880" width="33.5703125" style="351" customWidth="1"/>
    <col min="4881" max="4881" width="32.28515625" style="351" customWidth="1"/>
    <col min="4882" max="5120" width="9.140625" style="351"/>
    <col min="5121" max="5121" width="10.42578125" style="351" bestFit="1" customWidth="1"/>
    <col min="5122" max="5122" width="38.140625" style="351" customWidth="1"/>
    <col min="5123" max="5123" width="18.85546875" style="351" customWidth="1"/>
    <col min="5124" max="5127" width="12.140625" style="351" customWidth="1"/>
    <col min="5128" max="5128" width="12.5703125" style="351" customWidth="1"/>
    <col min="5129" max="5129" width="40.7109375" style="351" customWidth="1"/>
    <col min="5130" max="5130" width="16.5703125" style="351" customWidth="1"/>
    <col min="5131" max="5132" width="14.5703125" style="351" customWidth="1"/>
    <col min="5133" max="5133" width="12.5703125" style="351" customWidth="1"/>
    <col min="5134" max="5134" width="14.85546875" style="351" customWidth="1"/>
    <col min="5135" max="5135" width="17.85546875" style="351" customWidth="1"/>
    <col min="5136" max="5136" width="33.5703125" style="351" customWidth="1"/>
    <col min="5137" max="5137" width="32.28515625" style="351" customWidth="1"/>
    <col min="5138" max="5376" width="9.140625" style="351"/>
    <col min="5377" max="5377" width="10.42578125" style="351" bestFit="1" customWidth="1"/>
    <col min="5378" max="5378" width="38.140625" style="351" customWidth="1"/>
    <col min="5379" max="5379" width="18.85546875" style="351" customWidth="1"/>
    <col min="5380" max="5383" width="12.140625" style="351" customWidth="1"/>
    <col min="5384" max="5384" width="12.5703125" style="351" customWidth="1"/>
    <col min="5385" max="5385" width="40.7109375" style="351" customWidth="1"/>
    <col min="5386" max="5386" width="16.5703125" style="351" customWidth="1"/>
    <col min="5387" max="5388" width="14.5703125" style="351" customWidth="1"/>
    <col min="5389" max="5389" width="12.5703125" style="351" customWidth="1"/>
    <col min="5390" max="5390" width="14.85546875" style="351" customWidth="1"/>
    <col min="5391" max="5391" width="17.85546875" style="351" customWidth="1"/>
    <col min="5392" max="5392" width="33.5703125" style="351" customWidth="1"/>
    <col min="5393" max="5393" width="32.28515625" style="351" customWidth="1"/>
    <col min="5394" max="5632" width="9.140625" style="351"/>
    <col min="5633" max="5633" width="10.42578125" style="351" bestFit="1" customWidth="1"/>
    <col min="5634" max="5634" width="38.140625" style="351" customWidth="1"/>
    <col min="5635" max="5635" width="18.85546875" style="351" customWidth="1"/>
    <col min="5636" max="5639" width="12.140625" style="351" customWidth="1"/>
    <col min="5640" max="5640" width="12.5703125" style="351" customWidth="1"/>
    <col min="5641" max="5641" width="40.7109375" style="351" customWidth="1"/>
    <col min="5642" max="5642" width="16.5703125" style="351" customWidth="1"/>
    <col min="5643" max="5644" width="14.5703125" style="351" customWidth="1"/>
    <col min="5645" max="5645" width="12.5703125" style="351" customWidth="1"/>
    <col min="5646" max="5646" width="14.85546875" style="351" customWidth="1"/>
    <col min="5647" max="5647" width="17.85546875" style="351" customWidth="1"/>
    <col min="5648" max="5648" width="33.5703125" style="351" customWidth="1"/>
    <col min="5649" max="5649" width="32.28515625" style="351" customWidth="1"/>
    <col min="5650" max="5888" width="9.140625" style="351"/>
    <col min="5889" max="5889" width="10.42578125" style="351" bestFit="1" customWidth="1"/>
    <col min="5890" max="5890" width="38.140625" style="351" customWidth="1"/>
    <col min="5891" max="5891" width="18.85546875" style="351" customWidth="1"/>
    <col min="5892" max="5895" width="12.140625" style="351" customWidth="1"/>
    <col min="5896" max="5896" width="12.5703125" style="351" customWidth="1"/>
    <col min="5897" max="5897" width="40.7109375" style="351" customWidth="1"/>
    <col min="5898" max="5898" width="16.5703125" style="351" customWidth="1"/>
    <col min="5899" max="5900" width="14.5703125" style="351" customWidth="1"/>
    <col min="5901" max="5901" width="12.5703125" style="351" customWidth="1"/>
    <col min="5902" max="5902" width="14.85546875" style="351" customWidth="1"/>
    <col min="5903" max="5903" width="17.85546875" style="351" customWidth="1"/>
    <col min="5904" max="5904" width="33.5703125" style="351" customWidth="1"/>
    <col min="5905" max="5905" width="32.28515625" style="351" customWidth="1"/>
    <col min="5906" max="6144" width="9.140625" style="351"/>
    <col min="6145" max="6145" width="10.42578125" style="351" bestFit="1" customWidth="1"/>
    <col min="6146" max="6146" width="38.140625" style="351" customWidth="1"/>
    <col min="6147" max="6147" width="18.85546875" style="351" customWidth="1"/>
    <col min="6148" max="6151" width="12.140625" style="351" customWidth="1"/>
    <col min="6152" max="6152" width="12.5703125" style="351" customWidth="1"/>
    <col min="6153" max="6153" width="40.7109375" style="351" customWidth="1"/>
    <col min="6154" max="6154" width="16.5703125" style="351" customWidth="1"/>
    <col min="6155" max="6156" width="14.5703125" style="351" customWidth="1"/>
    <col min="6157" max="6157" width="12.5703125" style="351" customWidth="1"/>
    <col min="6158" max="6158" width="14.85546875" style="351" customWidth="1"/>
    <col min="6159" max="6159" width="17.85546875" style="351" customWidth="1"/>
    <col min="6160" max="6160" width="33.5703125" style="351" customWidth="1"/>
    <col min="6161" max="6161" width="32.28515625" style="351" customWidth="1"/>
    <col min="6162" max="6400" width="9.140625" style="351"/>
    <col min="6401" max="6401" width="10.42578125" style="351" bestFit="1" customWidth="1"/>
    <col min="6402" max="6402" width="38.140625" style="351" customWidth="1"/>
    <col min="6403" max="6403" width="18.85546875" style="351" customWidth="1"/>
    <col min="6404" max="6407" width="12.140625" style="351" customWidth="1"/>
    <col min="6408" max="6408" width="12.5703125" style="351" customWidth="1"/>
    <col min="6409" max="6409" width="40.7109375" style="351" customWidth="1"/>
    <col min="6410" max="6410" width="16.5703125" style="351" customWidth="1"/>
    <col min="6411" max="6412" width="14.5703125" style="351" customWidth="1"/>
    <col min="6413" max="6413" width="12.5703125" style="351" customWidth="1"/>
    <col min="6414" max="6414" width="14.85546875" style="351" customWidth="1"/>
    <col min="6415" max="6415" width="17.85546875" style="351" customWidth="1"/>
    <col min="6416" max="6416" width="33.5703125" style="351" customWidth="1"/>
    <col min="6417" max="6417" width="32.28515625" style="351" customWidth="1"/>
    <col min="6418" max="6656" width="9.140625" style="351"/>
    <col min="6657" max="6657" width="10.42578125" style="351" bestFit="1" customWidth="1"/>
    <col min="6658" max="6658" width="38.140625" style="351" customWidth="1"/>
    <col min="6659" max="6659" width="18.85546875" style="351" customWidth="1"/>
    <col min="6660" max="6663" width="12.140625" style="351" customWidth="1"/>
    <col min="6664" max="6664" width="12.5703125" style="351" customWidth="1"/>
    <col min="6665" max="6665" width="40.7109375" style="351" customWidth="1"/>
    <col min="6666" max="6666" width="16.5703125" style="351" customWidth="1"/>
    <col min="6667" max="6668" width="14.5703125" style="351" customWidth="1"/>
    <col min="6669" max="6669" width="12.5703125" style="351" customWidth="1"/>
    <col min="6670" max="6670" width="14.85546875" style="351" customWidth="1"/>
    <col min="6671" max="6671" width="17.85546875" style="351" customWidth="1"/>
    <col min="6672" max="6672" width="33.5703125" style="351" customWidth="1"/>
    <col min="6673" max="6673" width="32.28515625" style="351" customWidth="1"/>
    <col min="6674" max="6912" width="9.140625" style="351"/>
    <col min="6913" max="6913" width="10.42578125" style="351" bestFit="1" customWidth="1"/>
    <col min="6914" max="6914" width="38.140625" style="351" customWidth="1"/>
    <col min="6915" max="6915" width="18.85546875" style="351" customWidth="1"/>
    <col min="6916" max="6919" width="12.140625" style="351" customWidth="1"/>
    <col min="6920" max="6920" width="12.5703125" style="351" customWidth="1"/>
    <col min="6921" max="6921" width="40.7109375" style="351" customWidth="1"/>
    <col min="6922" max="6922" width="16.5703125" style="351" customWidth="1"/>
    <col min="6923" max="6924" width="14.5703125" style="351" customWidth="1"/>
    <col min="6925" max="6925" width="12.5703125" style="351" customWidth="1"/>
    <col min="6926" max="6926" width="14.85546875" style="351" customWidth="1"/>
    <col min="6927" max="6927" width="17.85546875" style="351" customWidth="1"/>
    <col min="6928" max="6928" width="33.5703125" style="351" customWidth="1"/>
    <col min="6929" max="6929" width="32.28515625" style="351" customWidth="1"/>
    <col min="6930" max="7168" width="9.140625" style="351"/>
    <col min="7169" max="7169" width="10.42578125" style="351" bestFit="1" customWidth="1"/>
    <col min="7170" max="7170" width="38.140625" style="351" customWidth="1"/>
    <col min="7171" max="7171" width="18.85546875" style="351" customWidth="1"/>
    <col min="7172" max="7175" width="12.140625" style="351" customWidth="1"/>
    <col min="7176" max="7176" width="12.5703125" style="351" customWidth="1"/>
    <col min="7177" max="7177" width="40.7109375" style="351" customWidth="1"/>
    <col min="7178" max="7178" width="16.5703125" style="351" customWidth="1"/>
    <col min="7179" max="7180" width="14.5703125" style="351" customWidth="1"/>
    <col min="7181" max="7181" width="12.5703125" style="351" customWidth="1"/>
    <col min="7182" max="7182" width="14.85546875" style="351" customWidth="1"/>
    <col min="7183" max="7183" width="17.85546875" style="351" customWidth="1"/>
    <col min="7184" max="7184" width="33.5703125" style="351" customWidth="1"/>
    <col min="7185" max="7185" width="32.28515625" style="351" customWidth="1"/>
    <col min="7186" max="7424" width="9.140625" style="351"/>
    <col min="7425" max="7425" width="10.42578125" style="351" bestFit="1" customWidth="1"/>
    <col min="7426" max="7426" width="38.140625" style="351" customWidth="1"/>
    <col min="7427" max="7427" width="18.85546875" style="351" customWidth="1"/>
    <col min="7428" max="7431" width="12.140625" style="351" customWidth="1"/>
    <col min="7432" max="7432" width="12.5703125" style="351" customWidth="1"/>
    <col min="7433" max="7433" width="40.7109375" style="351" customWidth="1"/>
    <col min="7434" max="7434" width="16.5703125" style="351" customWidth="1"/>
    <col min="7435" max="7436" width="14.5703125" style="351" customWidth="1"/>
    <col min="7437" max="7437" width="12.5703125" style="351" customWidth="1"/>
    <col min="7438" max="7438" width="14.85546875" style="351" customWidth="1"/>
    <col min="7439" max="7439" width="17.85546875" style="351" customWidth="1"/>
    <col min="7440" max="7440" width="33.5703125" style="351" customWidth="1"/>
    <col min="7441" max="7441" width="32.28515625" style="351" customWidth="1"/>
    <col min="7442" max="7680" width="9.140625" style="351"/>
    <col min="7681" max="7681" width="10.42578125" style="351" bestFit="1" customWidth="1"/>
    <col min="7682" max="7682" width="38.140625" style="351" customWidth="1"/>
    <col min="7683" max="7683" width="18.85546875" style="351" customWidth="1"/>
    <col min="7684" max="7687" width="12.140625" style="351" customWidth="1"/>
    <col min="7688" max="7688" width="12.5703125" style="351" customWidth="1"/>
    <col min="7689" max="7689" width="40.7109375" style="351" customWidth="1"/>
    <col min="7690" max="7690" width="16.5703125" style="351" customWidth="1"/>
    <col min="7691" max="7692" width="14.5703125" style="351" customWidth="1"/>
    <col min="7693" max="7693" width="12.5703125" style="351" customWidth="1"/>
    <col min="7694" max="7694" width="14.85546875" style="351" customWidth="1"/>
    <col min="7695" max="7695" width="17.85546875" style="351" customWidth="1"/>
    <col min="7696" max="7696" width="33.5703125" style="351" customWidth="1"/>
    <col min="7697" max="7697" width="32.28515625" style="351" customWidth="1"/>
    <col min="7698" max="7936" width="9.140625" style="351"/>
    <col min="7937" max="7937" width="10.42578125" style="351" bestFit="1" customWidth="1"/>
    <col min="7938" max="7938" width="38.140625" style="351" customWidth="1"/>
    <col min="7939" max="7939" width="18.85546875" style="351" customWidth="1"/>
    <col min="7940" max="7943" width="12.140625" style="351" customWidth="1"/>
    <col min="7944" max="7944" width="12.5703125" style="351" customWidth="1"/>
    <col min="7945" max="7945" width="40.7109375" style="351" customWidth="1"/>
    <col min="7946" max="7946" width="16.5703125" style="351" customWidth="1"/>
    <col min="7947" max="7948" width="14.5703125" style="351" customWidth="1"/>
    <col min="7949" max="7949" width="12.5703125" style="351" customWidth="1"/>
    <col min="7950" max="7950" width="14.85546875" style="351" customWidth="1"/>
    <col min="7951" max="7951" width="17.85546875" style="351" customWidth="1"/>
    <col min="7952" max="7952" width="33.5703125" style="351" customWidth="1"/>
    <col min="7953" max="7953" width="32.28515625" style="351" customWidth="1"/>
    <col min="7954" max="8192" width="9.140625" style="351"/>
    <col min="8193" max="8193" width="10.42578125" style="351" bestFit="1" customWidth="1"/>
    <col min="8194" max="8194" width="38.140625" style="351" customWidth="1"/>
    <col min="8195" max="8195" width="18.85546875" style="351" customWidth="1"/>
    <col min="8196" max="8199" width="12.140625" style="351" customWidth="1"/>
    <col min="8200" max="8200" width="12.5703125" style="351" customWidth="1"/>
    <col min="8201" max="8201" width="40.7109375" style="351" customWidth="1"/>
    <col min="8202" max="8202" width="16.5703125" style="351" customWidth="1"/>
    <col min="8203" max="8204" width="14.5703125" style="351" customWidth="1"/>
    <col min="8205" max="8205" width="12.5703125" style="351" customWidth="1"/>
    <col min="8206" max="8206" width="14.85546875" style="351" customWidth="1"/>
    <col min="8207" max="8207" width="17.85546875" style="351" customWidth="1"/>
    <col min="8208" max="8208" width="33.5703125" style="351" customWidth="1"/>
    <col min="8209" max="8209" width="32.28515625" style="351" customWidth="1"/>
    <col min="8210" max="8448" width="9.140625" style="351"/>
    <col min="8449" max="8449" width="10.42578125" style="351" bestFit="1" customWidth="1"/>
    <col min="8450" max="8450" width="38.140625" style="351" customWidth="1"/>
    <col min="8451" max="8451" width="18.85546875" style="351" customWidth="1"/>
    <col min="8452" max="8455" width="12.140625" style="351" customWidth="1"/>
    <col min="8456" max="8456" width="12.5703125" style="351" customWidth="1"/>
    <col min="8457" max="8457" width="40.7109375" style="351" customWidth="1"/>
    <col min="8458" max="8458" width="16.5703125" style="351" customWidth="1"/>
    <col min="8459" max="8460" width="14.5703125" style="351" customWidth="1"/>
    <col min="8461" max="8461" width="12.5703125" style="351" customWidth="1"/>
    <col min="8462" max="8462" width="14.85546875" style="351" customWidth="1"/>
    <col min="8463" max="8463" width="17.85546875" style="351" customWidth="1"/>
    <col min="8464" max="8464" width="33.5703125" style="351" customWidth="1"/>
    <col min="8465" max="8465" width="32.28515625" style="351" customWidth="1"/>
    <col min="8466" max="8704" width="9.140625" style="351"/>
    <col min="8705" max="8705" width="10.42578125" style="351" bestFit="1" customWidth="1"/>
    <col min="8706" max="8706" width="38.140625" style="351" customWidth="1"/>
    <col min="8707" max="8707" width="18.85546875" style="351" customWidth="1"/>
    <col min="8708" max="8711" width="12.140625" style="351" customWidth="1"/>
    <col min="8712" max="8712" width="12.5703125" style="351" customWidth="1"/>
    <col min="8713" max="8713" width="40.7109375" style="351" customWidth="1"/>
    <col min="8714" max="8714" width="16.5703125" style="351" customWidth="1"/>
    <col min="8715" max="8716" width="14.5703125" style="351" customWidth="1"/>
    <col min="8717" max="8717" width="12.5703125" style="351" customWidth="1"/>
    <col min="8718" max="8718" width="14.85546875" style="351" customWidth="1"/>
    <col min="8719" max="8719" width="17.85546875" style="351" customWidth="1"/>
    <col min="8720" max="8720" width="33.5703125" style="351" customWidth="1"/>
    <col min="8721" max="8721" width="32.28515625" style="351" customWidth="1"/>
    <col min="8722" max="8960" width="9.140625" style="351"/>
    <col min="8961" max="8961" width="10.42578125" style="351" bestFit="1" customWidth="1"/>
    <col min="8962" max="8962" width="38.140625" style="351" customWidth="1"/>
    <col min="8963" max="8963" width="18.85546875" style="351" customWidth="1"/>
    <col min="8964" max="8967" width="12.140625" style="351" customWidth="1"/>
    <col min="8968" max="8968" width="12.5703125" style="351" customWidth="1"/>
    <col min="8969" max="8969" width="40.7109375" style="351" customWidth="1"/>
    <col min="8970" max="8970" width="16.5703125" style="351" customWidth="1"/>
    <col min="8971" max="8972" width="14.5703125" style="351" customWidth="1"/>
    <col min="8973" max="8973" width="12.5703125" style="351" customWidth="1"/>
    <col min="8974" max="8974" width="14.85546875" style="351" customWidth="1"/>
    <col min="8975" max="8975" width="17.85546875" style="351" customWidth="1"/>
    <col min="8976" max="8976" width="33.5703125" style="351" customWidth="1"/>
    <col min="8977" max="8977" width="32.28515625" style="351" customWidth="1"/>
    <col min="8978" max="9216" width="9.140625" style="351"/>
    <col min="9217" max="9217" width="10.42578125" style="351" bestFit="1" customWidth="1"/>
    <col min="9218" max="9218" width="38.140625" style="351" customWidth="1"/>
    <col min="9219" max="9219" width="18.85546875" style="351" customWidth="1"/>
    <col min="9220" max="9223" width="12.140625" style="351" customWidth="1"/>
    <col min="9224" max="9224" width="12.5703125" style="351" customWidth="1"/>
    <col min="9225" max="9225" width="40.7109375" style="351" customWidth="1"/>
    <col min="9226" max="9226" width="16.5703125" style="351" customWidth="1"/>
    <col min="9227" max="9228" width="14.5703125" style="351" customWidth="1"/>
    <col min="9229" max="9229" width="12.5703125" style="351" customWidth="1"/>
    <col min="9230" max="9230" width="14.85546875" style="351" customWidth="1"/>
    <col min="9231" max="9231" width="17.85546875" style="351" customWidth="1"/>
    <col min="9232" max="9232" width="33.5703125" style="351" customWidth="1"/>
    <col min="9233" max="9233" width="32.28515625" style="351" customWidth="1"/>
    <col min="9234" max="9472" width="9.140625" style="351"/>
    <col min="9473" max="9473" width="10.42578125" style="351" bestFit="1" customWidth="1"/>
    <col min="9474" max="9474" width="38.140625" style="351" customWidth="1"/>
    <col min="9475" max="9475" width="18.85546875" style="351" customWidth="1"/>
    <col min="9476" max="9479" width="12.140625" style="351" customWidth="1"/>
    <col min="9480" max="9480" width="12.5703125" style="351" customWidth="1"/>
    <col min="9481" max="9481" width="40.7109375" style="351" customWidth="1"/>
    <col min="9482" max="9482" width="16.5703125" style="351" customWidth="1"/>
    <col min="9483" max="9484" width="14.5703125" style="351" customWidth="1"/>
    <col min="9485" max="9485" width="12.5703125" style="351" customWidth="1"/>
    <col min="9486" max="9486" width="14.85546875" style="351" customWidth="1"/>
    <col min="9487" max="9487" width="17.85546875" style="351" customWidth="1"/>
    <col min="9488" max="9488" width="33.5703125" style="351" customWidth="1"/>
    <col min="9489" max="9489" width="32.28515625" style="351" customWidth="1"/>
    <col min="9490" max="9728" width="9.140625" style="351"/>
    <col min="9729" max="9729" width="10.42578125" style="351" bestFit="1" customWidth="1"/>
    <col min="9730" max="9730" width="38.140625" style="351" customWidth="1"/>
    <col min="9731" max="9731" width="18.85546875" style="351" customWidth="1"/>
    <col min="9732" max="9735" width="12.140625" style="351" customWidth="1"/>
    <col min="9736" max="9736" width="12.5703125" style="351" customWidth="1"/>
    <col min="9737" max="9737" width="40.7109375" style="351" customWidth="1"/>
    <col min="9738" max="9738" width="16.5703125" style="351" customWidth="1"/>
    <col min="9739" max="9740" width="14.5703125" style="351" customWidth="1"/>
    <col min="9741" max="9741" width="12.5703125" style="351" customWidth="1"/>
    <col min="9742" max="9742" width="14.85546875" style="351" customWidth="1"/>
    <col min="9743" max="9743" width="17.85546875" style="351" customWidth="1"/>
    <col min="9744" max="9744" width="33.5703125" style="351" customWidth="1"/>
    <col min="9745" max="9745" width="32.28515625" style="351" customWidth="1"/>
    <col min="9746" max="9984" width="9.140625" style="351"/>
    <col min="9985" max="9985" width="10.42578125" style="351" bestFit="1" customWidth="1"/>
    <col min="9986" max="9986" width="38.140625" style="351" customWidth="1"/>
    <col min="9987" max="9987" width="18.85546875" style="351" customWidth="1"/>
    <col min="9988" max="9991" width="12.140625" style="351" customWidth="1"/>
    <col min="9992" max="9992" width="12.5703125" style="351" customWidth="1"/>
    <col min="9993" max="9993" width="40.7109375" style="351" customWidth="1"/>
    <col min="9994" max="9994" width="16.5703125" style="351" customWidth="1"/>
    <col min="9995" max="9996" width="14.5703125" style="351" customWidth="1"/>
    <col min="9997" max="9997" width="12.5703125" style="351" customWidth="1"/>
    <col min="9998" max="9998" width="14.85546875" style="351" customWidth="1"/>
    <col min="9999" max="9999" width="17.85546875" style="351" customWidth="1"/>
    <col min="10000" max="10000" width="33.5703125" style="351" customWidth="1"/>
    <col min="10001" max="10001" width="32.28515625" style="351" customWidth="1"/>
    <col min="10002" max="10240" width="9.140625" style="351"/>
    <col min="10241" max="10241" width="10.42578125" style="351" bestFit="1" customWidth="1"/>
    <col min="10242" max="10242" width="38.140625" style="351" customWidth="1"/>
    <col min="10243" max="10243" width="18.85546875" style="351" customWidth="1"/>
    <col min="10244" max="10247" width="12.140625" style="351" customWidth="1"/>
    <col min="10248" max="10248" width="12.5703125" style="351" customWidth="1"/>
    <col min="10249" max="10249" width="40.7109375" style="351" customWidth="1"/>
    <col min="10250" max="10250" width="16.5703125" style="351" customWidth="1"/>
    <col min="10251" max="10252" width="14.5703125" style="351" customWidth="1"/>
    <col min="10253" max="10253" width="12.5703125" style="351" customWidth="1"/>
    <col min="10254" max="10254" width="14.85546875" style="351" customWidth="1"/>
    <col min="10255" max="10255" width="17.85546875" style="351" customWidth="1"/>
    <col min="10256" max="10256" width="33.5703125" style="351" customWidth="1"/>
    <col min="10257" max="10257" width="32.28515625" style="351" customWidth="1"/>
    <col min="10258" max="10496" width="9.140625" style="351"/>
    <col min="10497" max="10497" width="10.42578125" style="351" bestFit="1" customWidth="1"/>
    <col min="10498" max="10498" width="38.140625" style="351" customWidth="1"/>
    <col min="10499" max="10499" width="18.85546875" style="351" customWidth="1"/>
    <col min="10500" max="10503" width="12.140625" style="351" customWidth="1"/>
    <col min="10504" max="10504" width="12.5703125" style="351" customWidth="1"/>
    <col min="10505" max="10505" width="40.7109375" style="351" customWidth="1"/>
    <col min="10506" max="10506" width="16.5703125" style="351" customWidth="1"/>
    <col min="10507" max="10508" width="14.5703125" style="351" customWidth="1"/>
    <col min="10509" max="10509" width="12.5703125" style="351" customWidth="1"/>
    <col min="10510" max="10510" width="14.85546875" style="351" customWidth="1"/>
    <col min="10511" max="10511" width="17.85546875" style="351" customWidth="1"/>
    <col min="10512" max="10512" width="33.5703125" style="351" customWidth="1"/>
    <col min="10513" max="10513" width="32.28515625" style="351" customWidth="1"/>
    <col min="10514" max="10752" width="9.140625" style="351"/>
    <col min="10753" max="10753" width="10.42578125" style="351" bestFit="1" customWidth="1"/>
    <col min="10754" max="10754" width="38.140625" style="351" customWidth="1"/>
    <col min="10755" max="10755" width="18.85546875" style="351" customWidth="1"/>
    <col min="10756" max="10759" width="12.140625" style="351" customWidth="1"/>
    <col min="10760" max="10760" width="12.5703125" style="351" customWidth="1"/>
    <col min="10761" max="10761" width="40.7109375" style="351" customWidth="1"/>
    <col min="10762" max="10762" width="16.5703125" style="351" customWidth="1"/>
    <col min="10763" max="10764" width="14.5703125" style="351" customWidth="1"/>
    <col min="10765" max="10765" width="12.5703125" style="351" customWidth="1"/>
    <col min="10766" max="10766" width="14.85546875" style="351" customWidth="1"/>
    <col min="10767" max="10767" width="17.85546875" style="351" customWidth="1"/>
    <col min="10768" max="10768" width="33.5703125" style="351" customWidth="1"/>
    <col min="10769" max="10769" width="32.28515625" style="351" customWidth="1"/>
    <col min="10770" max="11008" width="9.140625" style="351"/>
    <col min="11009" max="11009" width="10.42578125" style="351" bestFit="1" customWidth="1"/>
    <col min="11010" max="11010" width="38.140625" style="351" customWidth="1"/>
    <col min="11011" max="11011" width="18.85546875" style="351" customWidth="1"/>
    <col min="11012" max="11015" width="12.140625" style="351" customWidth="1"/>
    <col min="11016" max="11016" width="12.5703125" style="351" customWidth="1"/>
    <col min="11017" max="11017" width="40.7109375" style="351" customWidth="1"/>
    <col min="11018" max="11018" width="16.5703125" style="351" customWidth="1"/>
    <col min="11019" max="11020" width="14.5703125" style="351" customWidth="1"/>
    <col min="11021" max="11021" width="12.5703125" style="351" customWidth="1"/>
    <col min="11022" max="11022" width="14.85546875" style="351" customWidth="1"/>
    <col min="11023" max="11023" width="17.85546875" style="351" customWidth="1"/>
    <col min="11024" max="11024" width="33.5703125" style="351" customWidth="1"/>
    <col min="11025" max="11025" width="32.28515625" style="351" customWidth="1"/>
    <col min="11026" max="11264" width="9.140625" style="351"/>
    <col min="11265" max="11265" width="10.42578125" style="351" bestFit="1" customWidth="1"/>
    <col min="11266" max="11266" width="38.140625" style="351" customWidth="1"/>
    <col min="11267" max="11267" width="18.85546875" style="351" customWidth="1"/>
    <col min="11268" max="11271" width="12.140625" style="351" customWidth="1"/>
    <col min="11272" max="11272" width="12.5703125" style="351" customWidth="1"/>
    <col min="11273" max="11273" width="40.7109375" style="351" customWidth="1"/>
    <col min="11274" max="11274" width="16.5703125" style="351" customWidth="1"/>
    <col min="11275" max="11276" width="14.5703125" style="351" customWidth="1"/>
    <col min="11277" max="11277" width="12.5703125" style="351" customWidth="1"/>
    <col min="11278" max="11278" width="14.85546875" style="351" customWidth="1"/>
    <col min="11279" max="11279" width="17.85546875" style="351" customWidth="1"/>
    <col min="11280" max="11280" width="33.5703125" style="351" customWidth="1"/>
    <col min="11281" max="11281" width="32.28515625" style="351" customWidth="1"/>
    <col min="11282" max="11520" width="9.140625" style="351"/>
    <col min="11521" max="11521" width="10.42578125" style="351" bestFit="1" customWidth="1"/>
    <col min="11522" max="11522" width="38.140625" style="351" customWidth="1"/>
    <col min="11523" max="11523" width="18.85546875" style="351" customWidth="1"/>
    <col min="11524" max="11527" width="12.140625" style="351" customWidth="1"/>
    <col min="11528" max="11528" width="12.5703125" style="351" customWidth="1"/>
    <col min="11529" max="11529" width="40.7109375" style="351" customWidth="1"/>
    <col min="11530" max="11530" width="16.5703125" style="351" customWidth="1"/>
    <col min="11531" max="11532" width="14.5703125" style="351" customWidth="1"/>
    <col min="11533" max="11533" width="12.5703125" style="351" customWidth="1"/>
    <col min="11534" max="11534" width="14.85546875" style="351" customWidth="1"/>
    <col min="11535" max="11535" width="17.85546875" style="351" customWidth="1"/>
    <col min="11536" max="11536" width="33.5703125" style="351" customWidth="1"/>
    <col min="11537" max="11537" width="32.28515625" style="351" customWidth="1"/>
    <col min="11538" max="11776" width="9.140625" style="351"/>
    <col min="11777" max="11777" width="10.42578125" style="351" bestFit="1" customWidth="1"/>
    <col min="11778" max="11778" width="38.140625" style="351" customWidth="1"/>
    <col min="11779" max="11779" width="18.85546875" style="351" customWidth="1"/>
    <col min="11780" max="11783" width="12.140625" style="351" customWidth="1"/>
    <col min="11784" max="11784" width="12.5703125" style="351" customWidth="1"/>
    <col min="11785" max="11785" width="40.7109375" style="351" customWidth="1"/>
    <col min="11786" max="11786" width="16.5703125" style="351" customWidth="1"/>
    <col min="11787" max="11788" width="14.5703125" style="351" customWidth="1"/>
    <col min="11789" max="11789" width="12.5703125" style="351" customWidth="1"/>
    <col min="11790" max="11790" width="14.85546875" style="351" customWidth="1"/>
    <col min="11791" max="11791" width="17.85546875" style="351" customWidth="1"/>
    <col min="11792" max="11792" width="33.5703125" style="351" customWidth="1"/>
    <col min="11793" max="11793" width="32.28515625" style="351" customWidth="1"/>
    <col min="11794" max="12032" width="9.140625" style="351"/>
    <col min="12033" max="12033" width="10.42578125" style="351" bestFit="1" customWidth="1"/>
    <col min="12034" max="12034" width="38.140625" style="351" customWidth="1"/>
    <col min="12035" max="12035" width="18.85546875" style="351" customWidth="1"/>
    <col min="12036" max="12039" width="12.140625" style="351" customWidth="1"/>
    <col min="12040" max="12040" width="12.5703125" style="351" customWidth="1"/>
    <col min="12041" max="12041" width="40.7109375" style="351" customWidth="1"/>
    <col min="12042" max="12042" width="16.5703125" style="351" customWidth="1"/>
    <col min="12043" max="12044" width="14.5703125" style="351" customWidth="1"/>
    <col min="12045" max="12045" width="12.5703125" style="351" customWidth="1"/>
    <col min="12046" max="12046" width="14.85546875" style="351" customWidth="1"/>
    <col min="12047" max="12047" width="17.85546875" style="351" customWidth="1"/>
    <col min="12048" max="12048" width="33.5703125" style="351" customWidth="1"/>
    <col min="12049" max="12049" width="32.28515625" style="351" customWidth="1"/>
    <col min="12050" max="12288" width="9.140625" style="351"/>
    <col min="12289" max="12289" width="10.42578125" style="351" bestFit="1" customWidth="1"/>
    <col min="12290" max="12290" width="38.140625" style="351" customWidth="1"/>
    <col min="12291" max="12291" width="18.85546875" style="351" customWidth="1"/>
    <col min="12292" max="12295" width="12.140625" style="351" customWidth="1"/>
    <col min="12296" max="12296" width="12.5703125" style="351" customWidth="1"/>
    <col min="12297" max="12297" width="40.7109375" style="351" customWidth="1"/>
    <col min="12298" max="12298" width="16.5703125" style="351" customWidth="1"/>
    <col min="12299" max="12300" width="14.5703125" style="351" customWidth="1"/>
    <col min="12301" max="12301" width="12.5703125" style="351" customWidth="1"/>
    <col min="12302" max="12302" width="14.85546875" style="351" customWidth="1"/>
    <col min="12303" max="12303" width="17.85546875" style="351" customWidth="1"/>
    <col min="12304" max="12304" width="33.5703125" style="351" customWidth="1"/>
    <col min="12305" max="12305" width="32.28515625" style="351" customWidth="1"/>
    <col min="12306" max="12544" width="9.140625" style="351"/>
    <col min="12545" max="12545" width="10.42578125" style="351" bestFit="1" customWidth="1"/>
    <col min="12546" max="12546" width="38.140625" style="351" customWidth="1"/>
    <col min="12547" max="12547" width="18.85546875" style="351" customWidth="1"/>
    <col min="12548" max="12551" width="12.140625" style="351" customWidth="1"/>
    <col min="12552" max="12552" width="12.5703125" style="351" customWidth="1"/>
    <col min="12553" max="12553" width="40.7109375" style="351" customWidth="1"/>
    <col min="12554" max="12554" width="16.5703125" style="351" customWidth="1"/>
    <col min="12555" max="12556" width="14.5703125" style="351" customWidth="1"/>
    <col min="12557" max="12557" width="12.5703125" style="351" customWidth="1"/>
    <col min="12558" max="12558" width="14.85546875" style="351" customWidth="1"/>
    <col min="12559" max="12559" width="17.85546875" style="351" customWidth="1"/>
    <col min="12560" max="12560" width="33.5703125" style="351" customWidth="1"/>
    <col min="12561" max="12561" width="32.28515625" style="351" customWidth="1"/>
    <col min="12562" max="12800" width="9.140625" style="351"/>
    <col min="12801" max="12801" width="10.42578125" style="351" bestFit="1" customWidth="1"/>
    <col min="12802" max="12802" width="38.140625" style="351" customWidth="1"/>
    <col min="12803" max="12803" width="18.85546875" style="351" customWidth="1"/>
    <col min="12804" max="12807" width="12.140625" style="351" customWidth="1"/>
    <col min="12808" max="12808" width="12.5703125" style="351" customWidth="1"/>
    <col min="12809" max="12809" width="40.7109375" style="351" customWidth="1"/>
    <col min="12810" max="12810" width="16.5703125" style="351" customWidth="1"/>
    <col min="12811" max="12812" width="14.5703125" style="351" customWidth="1"/>
    <col min="12813" max="12813" width="12.5703125" style="351" customWidth="1"/>
    <col min="12814" max="12814" width="14.85546875" style="351" customWidth="1"/>
    <col min="12815" max="12815" width="17.85546875" style="351" customWidth="1"/>
    <col min="12816" max="12816" width="33.5703125" style="351" customWidth="1"/>
    <col min="12817" max="12817" width="32.28515625" style="351" customWidth="1"/>
    <col min="12818" max="13056" width="9.140625" style="351"/>
    <col min="13057" max="13057" width="10.42578125" style="351" bestFit="1" customWidth="1"/>
    <col min="13058" max="13058" width="38.140625" style="351" customWidth="1"/>
    <col min="13059" max="13059" width="18.85546875" style="351" customWidth="1"/>
    <col min="13060" max="13063" width="12.140625" style="351" customWidth="1"/>
    <col min="13064" max="13064" width="12.5703125" style="351" customWidth="1"/>
    <col min="13065" max="13065" width="40.7109375" style="351" customWidth="1"/>
    <col min="13066" max="13066" width="16.5703125" style="351" customWidth="1"/>
    <col min="13067" max="13068" width="14.5703125" style="351" customWidth="1"/>
    <col min="13069" max="13069" width="12.5703125" style="351" customWidth="1"/>
    <col min="13070" max="13070" width="14.85546875" style="351" customWidth="1"/>
    <col min="13071" max="13071" width="17.85546875" style="351" customWidth="1"/>
    <col min="13072" max="13072" width="33.5703125" style="351" customWidth="1"/>
    <col min="13073" max="13073" width="32.28515625" style="351" customWidth="1"/>
    <col min="13074" max="13312" width="9.140625" style="351"/>
    <col min="13313" max="13313" width="10.42578125" style="351" bestFit="1" customWidth="1"/>
    <col min="13314" max="13314" width="38.140625" style="351" customWidth="1"/>
    <col min="13315" max="13315" width="18.85546875" style="351" customWidth="1"/>
    <col min="13316" max="13319" width="12.140625" style="351" customWidth="1"/>
    <col min="13320" max="13320" width="12.5703125" style="351" customWidth="1"/>
    <col min="13321" max="13321" width="40.7109375" style="351" customWidth="1"/>
    <col min="13322" max="13322" width="16.5703125" style="351" customWidth="1"/>
    <col min="13323" max="13324" width="14.5703125" style="351" customWidth="1"/>
    <col min="13325" max="13325" width="12.5703125" style="351" customWidth="1"/>
    <col min="13326" max="13326" width="14.85546875" style="351" customWidth="1"/>
    <col min="13327" max="13327" width="17.85546875" style="351" customWidth="1"/>
    <col min="13328" max="13328" width="33.5703125" style="351" customWidth="1"/>
    <col min="13329" max="13329" width="32.28515625" style="351" customWidth="1"/>
    <col min="13330" max="13568" width="9.140625" style="351"/>
    <col min="13569" max="13569" width="10.42578125" style="351" bestFit="1" customWidth="1"/>
    <col min="13570" max="13570" width="38.140625" style="351" customWidth="1"/>
    <col min="13571" max="13571" width="18.85546875" style="351" customWidth="1"/>
    <col min="13572" max="13575" width="12.140625" style="351" customWidth="1"/>
    <col min="13576" max="13576" width="12.5703125" style="351" customWidth="1"/>
    <col min="13577" max="13577" width="40.7109375" style="351" customWidth="1"/>
    <col min="13578" max="13578" width="16.5703125" style="351" customWidth="1"/>
    <col min="13579" max="13580" width="14.5703125" style="351" customWidth="1"/>
    <col min="13581" max="13581" width="12.5703125" style="351" customWidth="1"/>
    <col min="13582" max="13582" width="14.85546875" style="351" customWidth="1"/>
    <col min="13583" max="13583" width="17.85546875" style="351" customWidth="1"/>
    <col min="13584" max="13584" width="33.5703125" style="351" customWidth="1"/>
    <col min="13585" max="13585" width="32.28515625" style="351" customWidth="1"/>
    <col min="13586" max="13824" width="9.140625" style="351"/>
    <col min="13825" max="13825" width="10.42578125" style="351" bestFit="1" customWidth="1"/>
    <col min="13826" max="13826" width="38.140625" style="351" customWidth="1"/>
    <col min="13827" max="13827" width="18.85546875" style="351" customWidth="1"/>
    <col min="13828" max="13831" width="12.140625" style="351" customWidth="1"/>
    <col min="13832" max="13832" width="12.5703125" style="351" customWidth="1"/>
    <col min="13833" max="13833" width="40.7109375" style="351" customWidth="1"/>
    <col min="13834" max="13834" width="16.5703125" style="351" customWidth="1"/>
    <col min="13835" max="13836" width="14.5703125" style="351" customWidth="1"/>
    <col min="13837" max="13837" width="12.5703125" style="351" customWidth="1"/>
    <col min="13838" max="13838" width="14.85546875" style="351" customWidth="1"/>
    <col min="13839" max="13839" width="17.85546875" style="351" customWidth="1"/>
    <col min="13840" max="13840" width="33.5703125" style="351" customWidth="1"/>
    <col min="13841" max="13841" width="32.28515625" style="351" customWidth="1"/>
    <col min="13842" max="14080" width="9.140625" style="351"/>
    <col min="14081" max="14081" width="10.42578125" style="351" bestFit="1" customWidth="1"/>
    <col min="14082" max="14082" width="38.140625" style="351" customWidth="1"/>
    <col min="14083" max="14083" width="18.85546875" style="351" customWidth="1"/>
    <col min="14084" max="14087" width="12.140625" style="351" customWidth="1"/>
    <col min="14088" max="14088" width="12.5703125" style="351" customWidth="1"/>
    <col min="14089" max="14089" width="40.7109375" style="351" customWidth="1"/>
    <col min="14090" max="14090" width="16.5703125" style="351" customWidth="1"/>
    <col min="14091" max="14092" width="14.5703125" style="351" customWidth="1"/>
    <col min="14093" max="14093" width="12.5703125" style="351" customWidth="1"/>
    <col min="14094" max="14094" width="14.85546875" style="351" customWidth="1"/>
    <col min="14095" max="14095" width="17.85546875" style="351" customWidth="1"/>
    <col min="14096" max="14096" width="33.5703125" style="351" customWidth="1"/>
    <col min="14097" max="14097" width="32.28515625" style="351" customWidth="1"/>
    <col min="14098" max="14336" width="9.140625" style="351"/>
    <col min="14337" max="14337" width="10.42578125" style="351" bestFit="1" customWidth="1"/>
    <col min="14338" max="14338" width="38.140625" style="351" customWidth="1"/>
    <col min="14339" max="14339" width="18.85546875" style="351" customWidth="1"/>
    <col min="14340" max="14343" width="12.140625" style="351" customWidth="1"/>
    <col min="14344" max="14344" width="12.5703125" style="351" customWidth="1"/>
    <col min="14345" max="14345" width="40.7109375" style="351" customWidth="1"/>
    <col min="14346" max="14346" width="16.5703125" style="351" customWidth="1"/>
    <col min="14347" max="14348" width="14.5703125" style="351" customWidth="1"/>
    <col min="14349" max="14349" width="12.5703125" style="351" customWidth="1"/>
    <col min="14350" max="14350" width="14.85546875" style="351" customWidth="1"/>
    <col min="14351" max="14351" width="17.85546875" style="351" customWidth="1"/>
    <col min="14352" max="14352" width="33.5703125" style="351" customWidth="1"/>
    <col min="14353" max="14353" width="32.28515625" style="351" customWidth="1"/>
    <col min="14354" max="14592" width="9.140625" style="351"/>
    <col min="14593" max="14593" width="10.42578125" style="351" bestFit="1" customWidth="1"/>
    <col min="14594" max="14594" width="38.140625" style="351" customWidth="1"/>
    <col min="14595" max="14595" width="18.85546875" style="351" customWidth="1"/>
    <col min="14596" max="14599" width="12.140625" style="351" customWidth="1"/>
    <col min="14600" max="14600" width="12.5703125" style="351" customWidth="1"/>
    <col min="14601" max="14601" width="40.7109375" style="351" customWidth="1"/>
    <col min="14602" max="14602" width="16.5703125" style="351" customWidth="1"/>
    <col min="14603" max="14604" width="14.5703125" style="351" customWidth="1"/>
    <col min="14605" max="14605" width="12.5703125" style="351" customWidth="1"/>
    <col min="14606" max="14606" width="14.85546875" style="351" customWidth="1"/>
    <col min="14607" max="14607" width="17.85546875" style="351" customWidth="1"/>
    <col min="14608" max="14608" width="33.5703125" style="351" customWidth="1"/>
    <col min="14609" max="14609" width="32.28515625" style="351" customWidth="1"/>
    <col min="14610" max="14848" width="9.140625" style="351"/>
    <col min="14849" max="14849" width="10.42578125" style="351" bestFit="1" customWidth="1"/>
    <col min="14850" max="14850" width="38.140625" style="351" customWidth="1"/>
    <col min="14851" max="14851" width="18.85546875" style="351" customWidth="1"/>
    <col min="14852" max="14855" width="12.140625" style="351" customWidth="1"/>
    <col min="14856" max="14856" width="12.5703125" style="351" customWidth="1"/>
    <col min="14857" max="14857" width="40.7109375" style="351" customWidth="1"/>
    <col min="14858" max="14858" width="16.5703125" style="351" customWidth="1"/>
    <col min="14859" max="14860" width="14.5703125" style="351" customWidth="1"/>
    <col min="14861" max="14861" width="12.5703125" style="351" customWidth="1"/>
    <col min="14862" max="14862" width="14.85546875" style="351" customWidth="1"/>
    <col min="14863" max="14863" width="17.85546875" style="351" customWidth="1"/>
    <col min="14864" max="14864" width="33.5703125" style="351" customWidth="1"/>
    <col min="14865" max="14865" width="32.28515625" style="351" customWidth="1"/>
    <col min="14866" max="15104" width="9.140625" style="351"/>
    <col min="15105" max="15105" width="10.42578125" style="351" bestFit="1" customWidth="1"/>
    <col min="15106" max="15106" width="38.140625" style="351" customWidth="1"/>
    <col min="15107" max="15107" width="18.85546875" style="351" customWidth="1"/>
    <col min="15108" max="15111" width="12.140625" style="351" customWidth="1"/>
    <col min="15112" max="15112" width="12.5703125" style="351" customWidth="1"/>
    <col min="15113" max="15113" width="40.7109375" style="351" customWidth="1"/>
    <col min="15114" max="15114" width="16.5703125" style="351" customWidth="1"/>
    <col min="15115" max="15116" width="14.5703125" style="351" customWidth="1"/>
    <col min="15117" max="15117" width="12.5703125" style="351" customWidth="1"/>
    <col min="15118" max="15118" width="14.85546875" style="351" customWidth="1"/>
    <col min="15119" max="15119" width="17.85546875" style="351" customWidth="1"/>
    <col min="15120" max="15120" width="33.5703125" style="351" customWidth="1"/>
    <col min="15121" max="15121" width="32.28515625" style="351" customWidth="1"/>
    <col min="15122" max="15360" width="9.140625" style="351"/>
    <col min="15361" max="15361" width="10.42578125" style="351" bestFit="1" customWidth="1"/>
    <col min="15362" max="15362" width="38.140625" style="351" customWidth="1"/>
    <col min="15363" max="15363" width="18.85546875" style="351" customWidth="1"/>
    <col min="15364" max="15367" width="12.140625" style="351" customWidth="1"/>
    <col min="15368" max="15368" width="12.5703125" style="351" customWidth="1"/>
    <col min="15369" max="15369" width="40.7109375" style="351" customWidth="1"/>
    <col min="15370" max="15370" width="16.5703125" style="351" customWidth="1"/>
    <col min="15371" max="15372" width="14.5703125" style="351" customWidth="1"/>
    <col min="15373" max="15373" width="12.5703125" style="351" customWidth="1"/>
    <col min="15374" max="15374" width="14.85546875" style="351" customWidth="1"/>
    <col min="15375" max="15375" width="17.85546875" style="351" customWidth="1"/>
    <col min="15376" max="15376" width="33.5703125" style="351" customWidth="1"/>
    <col min="15377" max="15377" width="32.28515625" style="351" customWidth="1"/>
    <col min="15378" max="15616" width="9.140625" style="351"/>
    <col min="15617" max="15617" width="10.42578125" style="351" bestFit="1" customWidth="1"/>
    <col min="15618" max="15618" width="38.140625" style="351" customWidth="1"/>
    <col min="15619" max="15619" width="18.85546875" style="351" customWidth="1"/>
    <col min="15620" max="15623" width="12.140625" style="351" customWidth="1"/>
    <col min="15624" max="15624" width="12.5703125" style="351" customWidth="1"/>
    <col min="15625" max="15625" width="40.7109375" style="351" customWidth="1"/>
    <col min="15626" max="15626" width="16.5703125" style="351" customWidth="1"/>
    <col min="15627" max="15628" width="14.5703125" style="351" customWidth="1"/>
    <col min="15629" max="15629" width="12.5703125" style="351" customWidth="1"/>
    <col min="15630" max="15630" width="14.85546875" style="351" customWidth="1"/>
    <col min="15631" max="15631" width="17.85546875" style="351" customWidth="1"/>
    <col min="15632" max="15632" width="33.5703125" style="351" customWidth="1"/>
    <col min="15633" max="15633" width="32.28515625" style="351" customWidth="1"/>
    <col min="15634" max="15872" width="9.140625" style="351"/>
    <col min="15873" max="15873" width="10.42578125" style="351" bestFit="1" customWidth="1"/>
    <col min="15874" max="15874" width="38.140625" style="351" customWidth="1"/>
    <col min="15875" max="15875" width="18.85546875" style="351" customWidth="1"/>
    <col min="15876" max="15879" width="12.140625" style="351" customWidth="1"/>
    <col min="15880" max="15880" width="12.5703125" style="351" customWidth="1"/>
    <col min="15881" max="15881" width="40.7109375" style="351" customWidth="1"/>
    <col min="15882" max="15882" width="16.5703125" style="351" customWidth="1"/>
    <col min="15883" max="15884" width="14.5703125" style="351" customWidth="1"/>
    <col min="15885" max="15885" width="12.5703125" style="351" customWidth="1"/>
    <col min="15886" max="15886" width="14.85546875" style="351" customWidth="1"/>
    <col min="15887" max="15887" width="17.85546875" style="351" customWidth="1"/>
    <col min="15888" max="15888" width="33.5703125" style="351" customWidth="1"/>
    <col min="15889" max="15889" width="32.28515625" style="351" customWidth="1"/>
    <col min="15890" max="16128" width="9.140625" style="351"/>
    <col min="16129" max="16129" width="10.42578125" style="351" bestFit="1" customWidth="1"/>
    <col min="16130" max="16130" width="38.140625" style="351" customWidth="1"/>
    <col min="16131" max="16131" width="18.85546875" style="351" customWidth="1"/>
    <col min="16132" max="16135" width="12.140625" style="351" customWidth="1"/>
    <col min="16136" max="16136" width="12.5703125" style="351" customWidth="1"/>
    <col min="16137" max="16137" width="40.7109375" style="351" customWidth="1"/>
    <col min="16138" max="16138" width="16.5703125" style="351" customWidth="1"/>
    <col min="16139" max="16140" width="14.5703125" style="351" customWidth="1"/>
    <col min="16141" max="16141" width="12.5703125" style="351" customWidth="1"/>
    <col min="16142" max="16142" width="14.85546875" style="351" customWidth="1"/>
    <col min="16143" max="16143" width="17.85546875" style="351" customWidth="1"/>
    <col min="16144" max="16144" width="33.5703125" style="351" customWidth="1"/>
    <col min="16145" max="16145" width="32.28515625" style="351" customWidth="1"/>
    <col min="16146" max="16384" width="9.140625" style="351"/>
  </cols>
  <sheetData>
    <row r="1" spans="1:17" x14ac:dyDescent="0.25">
      <c r="A1" s="356"/>
      <c r="B1" s="358"/>
      <c r="C1" s="356"/>
      <c r="D1" s="392"/>
      <c r="E1" s="392"/>
      <c r="F1" s="391"/>
      <c r="G1" s="356"/>
      <c r="H1" s="356"/>
      <c r="I1" s="358"/>
      <c r="J1" s="356"/>
      <c r="K1" s="356"/>
      <c r="L1" s="356"/>
      <c r="M1" s="357"/>
      <c r="N1" s="356"/>
      <c r="O1" s="356"/>
      <c r="P1" s="356"/>
    </row>
    <row r="2" spans="1:17" ht="40.5" customHeight="1" x14ac:dyDescent="0.25">
      <c r="A2" s="613" t="s">
        <v>0</v>
      </c>
      <c r="B2" s="613"/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613"/>
    </row>
    <row r="3" spans="1:17" ht="20.25" customHeight="1" x14ac:dyDescent="0.25">
      <c r="A3" s="613" t="s">
        <v>636</v>
      </c>
      <c r="B3" s="613"/>
      <c r="C3" s="613"/>
      <c r="D3" s="613"/>
      <c r="E3" s="613"/>
      <c r="F3" s="613"/>
      <c r="G3" s="613"/>
      <c r="H3" s="613"/>
      <c r="I3" s="613"/>
      <c r="J3" s="613"/>
      <c r="K3" s="613"/>
      <c r="L3" s="613"/>
      <c r="M3" s="613"/>
      <c r="N3" s="613"/>
      <c r="O3" s="613"/>
      <c r="P3" s="613"/>
    </row>
    <row r="4" spans="1:17" ht="24" customHeight="1" x14ac:dyDescent="0.25">
      <c r="A4" s="614" t="s">
        <v>635</v>
      </c>
      <c r="B4" s="614"/>
      <c r="C4" s="614"/>
      <c r="D4" s="614"/>
      <c r="E4" s="614"/>
      <c r="F4" s="614"/>
      <c r="G4" s="614"/>
      <c r="H4" s="614"/>
      <c r="I4" s="614"/>
      <c r="J4" s="614"/>
      <c r="K4" s="614"/>
      <c r="L4" s="614"/>
      <c r="M4" s="614"/>
      <c r="N4" s="614"/>
      <c r="O4" s="614"/>
      <c r="P4" s="614"/>
    </row>
    <row r="5" spans="1:17" ht="16.5" customHeight="1" x14ac:dyDescent="0.25">
      <c r="A5" s="613" t="s">
        <v>331</v>
      </c>
      <c r="B5" s="613"/>
      <c r="C5" s="613"/>
      <c r="D5" s="613"/>
      <c r="E5" s="613"/>
      <c r="F5" s="613"/>
      <c r="G5" s="613"/>
      <c r="H5" s="613"/>
      <c r="I5" s="613"/>
      <c r="J5" s="613"/>
      <c r="K5" s="613"/>
      <c r="L5" s="613"/>
      <c r="M5" s="613"/>
      <c r="N5" s="613"/>
      <c r="O5" s="613"/>
      <c r="P5" s="613"/>
    </row>
    <row r="6" spans="1:17" ht="20.25" x14ac:dyDescent="0.25">
      <c r="A6" s="613" t="s">
        <v>271</v>
      </c>
      <c r="B6" s="613"/>
      <c r="C6" s="613"/>
      <c r="D6" s="613"/>
      <c r="E6" s="613"/>
      <c r="F6" s="613"/>
      <c r="G6" s="613"/>
      <c r="H6" s="613"/>
      <c r="I6" s="613"/>
      <c r="J6" s="613"/>
      <c r="K6" s="613"/>
      <c r="L6" s="613"/>
      <c r="M6" s="613"/>
      <c r="N6" s="613"/>
      <c r="O6" s="613"/>
      <c r="P6" s="613"/>
    </row>
    <row r="7" spans="1:17" x14ac:dyDescent="0.25">
      <c r="A7" s="387"/>
      <c r="B7" s="389"/>
      <c r="C7" s="387"/>
      <c r="D7" s="390"/>
      <c r="E7" s="387"/>
      <c r="F7" s="388"/>
      <c r="G7" s="387"/>
      <c r="H7" s="387"/>
      <c r="I7" s="389"/>
      <c r="J7" s="387"/>
      <c r="K7" s="387"/>
      <c r="L7" s="387"/>
      <c r="M7" s="388"/>
      <c r="N7" s="387"/>
      <c r="O7" s="387"/>
      <c r="P7" s="356"/>
    </row>
    <row r="8" spans="1:17" ht="16.5" customHeight="1" x14ac:dyDescent="0.25">
      <c r="A8" s="427"/>
      <c r="B8" s="611" t="s">
        <v>4</v>
      </c>
      <c r="C8" s="612"/>
      <c r="D8" s="612"/>
      <c r="E8" s="612"/>
      <c r="F8" s="612"/>
      <c r="G8" s="612"/>
      <c r="H8" s="612"/>
      <c r="I8" s="612"/>
      <c r="J8" s="612"/>
      <c r="K8" s="612"/>
      <c r="L8" s="612"/>
      <c r="M8" s="612"/>
      <c r="N8" s="612"/>
      <c r="O8" s="612"/>
      <c r="P8" s="612"/>
      <c r="Q8" s="612"/>
    </row>
    <row r="9" spans="1:17" x14ac:dyDescent="0.25">
      <c r="A9" s="427"/>
      <c r="B9" s="615" t="s">
        <v>5</v>
      </c>
      <c r="C9" s="615"/>
      <c r="D9" s="615"/>
      <c r="E9" s="615"/>
      <c r="F9" s="615"/>
      <c r="G9" s="615"/>
      <c r="H9" s="615" t="s">
        <v>6</v>
      </c>
      <c r="I9" s="616"/>
      <c r="J9" s="616"/>
      <c r="K9" s="616"/>
      <c r="L9" s="616"/>
      <c r="M9" s="616"/>
      <c r="N9" s="616"/>
      <c r="O9" s="615" t="s">
        <v>7</v>
      </c>
      <c r="P9" s="615"/>
      <c r="Q9" s="617"/>
    </row>
    <row r="10" spans="1:17" ht="44.25" customHeight="1" x14ac:dyDescent="0.25">
      <c r="A10" s="427" t="s">
        <v>3</v>
      </c>
      <c r="B10" s="376" t="s">
        <v>8</v>
      </c>
      <c r="C10" s="427" t="s">
        <v>9</v>
      </c>
      <c r="D10" s="385" t="s">
        <v>634</v>
      </c>
      <c r="E10" s="385" t="s">
        <v>633</v>
      </c>
      <c r="F10" s="386" t="s">
        <v>632</v>
      </c>
      <c r="G10" s="385" t="s">
        <v>631</v>
      </c>
      <c r="H10" s="427" t="s">
        <v>3</v>
      </c>
      <c r="I10" s="376" t="s">
        <v>8</v>
      </c>
      <c r="J10" s="427" t="s">
        <v>9</v>
      </c>
      <c r="K10" s="385" t="s">
        <v>630</v>
      </c>
      <c r="L10" s="385" t="s">
        <v>629</v>
      </c>
      <c r="M10" s="386" t="s">
        <v>628</v>
      </c>
      <c r="N10" s="385" t="s">
        <v>627</v>
      </c>
      <c r="O10" s="385" t="s">
        <v>626</v>
      </c>
      <c r="P10" s="427" t="s">
        <v>10</v>
      </c>
      <c r="Q10" s="427" t="s">
        <v>11</v>
      </c>
    </row>
    <row r="11" spans="1:17" s="381" customFormat="1" x14ac:dyDescent="0.2">
      <c r="A11" s="362">
        <v>1</v>
      </c>
      <c r="B11" s="382">
        <v>2</v>
      </c>
      <c r="C11" s="362">
        <v>3</v>
      </c>
      <c r="D11" s="382">
        <v>4</v>
      </c>
      <c r="E11" s="362">
        <v>5</v>
      </c>
      <c r="F11" s="384">
        <v>6</v>
      </c>
      <c r="G11" s="362">
        <v>7</v>
      </c>
      <c r="H11" s="382">
        <v>8</v>
      </c>
      <c r="I11" s="362">
        <v>9</v>
      </c>
      <c r="J11" s="382">
        <v>10</v>
      </c>
      <c r="K11" s="362">
        <v>11</v>
      </c>
      <c r="L11" s="382">
        <v>12</v>
      </c>
      <c r="M11" s="383">
        <v>13</v>
      </c>
      <c r="N11" s="382">
        <v>14</v>
      </c>
      <c r="O11" s="362">
        <v>15</v>
      </c>
      <c r="P11" s="382">
        <v>16</v>
      </c>
      <c r="Q11" s="382">
        <v>17</v>
      </c>
    </row>
    <row r="12" spans="1:17" ht="132" customHeight="1" x14ac:dyDescent="0.25">
      <c r="A12" s="427" t="s">
        <v>13</v>
      </c>
      <c r="B12" s="376" t="s">
        <v>625</v>
      </c>
      <c r="C12" s="427"/>
      <c r="D12" s="377"/>
      <c r="E12" s="377"/>
      <c r="F12" s="360"/>
      <c r="G12" s="372"/>
      <c r="H12" s="427" t="str">
        <f>A12</f>
        <v>I</v>
      </c>
      <c r="I12" s="376" t="str">
        <f>B12</f>
        <v>Организация мероприятий, направленных на профилактику асоциального поведения подростков и молодежи, поддержка детей и молодежи, находящейся в социально-опасном положении</v>
      </c>
      <c r="J12" s="362"/>
      <c r="K12" s="379"/>
      <c r="L12" s="379"/>
      <c r="M12" s="360"/>
      <c r="N12" s="368"/>
      <c r="O12" s="360"/>
      <c r="P12" s="427"/>
      <c r="Q12" s="618" t="s">
        <v>354</v>
      </c>
    </row>
    <row r="13" spans="1:17" ht="44.25" customHeight="1" x14ac:dyDescent="0.25">
      <c r="A13" s="362" t="s">
        <v>16</v>
      </c>
      <c r="B13" s="370" t="s">
        <v>624</v>
      </c>
      <c r="C13" s="362" t="s">
        <v>20</v>
      </c>
      <c r="D13" s="375">
        <v>600</v>
      </c>
      <c r="E13" s="374">
        <v>622</v>
      </c>
      <c r="F13" s="369">
        <f>IF(E13/D13*100&gt;100,100,E13/D13*100)</f>
        <v>100</v>
      </c>
      <c r="G13" s="372"/>
      <c r="H13" s="362" t="s">
        <v>16</v>
      </c>
      <c r="I13" s="370" t="s">
        <v>270</v>
      </c>
      <c r="J13" s="362" t="s">
        <v>216</v>
      </c>
      <c r="K13" s="362">
        <v>96</v>
      </c>
      <c r="L13" s="362">
        <v>96</v>
      </c>
      <c r="M13" s="369">
        <v>100</v>
      </c>
      <c r="N13" s="368"/>
      <c r="O13" s="360"/>
      <c r="P13" s="366"/>
      <c r="Q13" s="618"/>
    </row>
    <row r="14" spans="1:17" ht="60.75" customHeight="1" x14ac:dyDescent="0.25">
      <c r="A14" s="362" t="s">
        <v>21</v>
      </c>
      <c r="B14" s="370" t="s">
        <v>616</v>
      </c>
      <c r="C14" s="362" t="s">
        <v>18</v>
      </c>
      <c r="D14" s="374">
        <v>100</v>
      </c>
      <c r="E14" s="374">
        <v>100</v>
      </c>
      <c r="F14" s="369">
        <f t="shared" ref="F14:F38" si="0">IF(E14/D14*100&gt;100,100,E14/D14*100)</f>
        <v>100</v>
      </c>
      <c r="G14" s="372"/>
      <c r="H14" s="362"/>
      <c r="I14" s="370"/>
      <c r="J14" s="362"/>
      <c r="K14" s="362"/>
      <c r="L14" s="362"/>
      <c r="M14" s="369"/>
      <c r="N14" s="368"/>
      <c r="O14" s="360"/>
      <c r="P14" s="366"/>
      <c r="Q14" s="618"/>
    </row>
    <row r="15" spans="1:17" ht="57" customHeight="1" x14ac:dyDescent="0.25">
      <c r="A15" s="362" t="s">
        <v>23</v>
      </c>
      <c r="B15" s="370" t="s">
        <v>623</v>
      </c>
      <c r="C15" s="362" t="s">
        <v>20</v>
      </c>
      <c r="D15" s="374">
        <v>9</v>
      </c>
      <c r="E15" s="374">
        <v>9</v>
      </c>
      <c r="F15" s="369">
        <f t="shared" si="0"/>
        <v>100</v>
      </c>
      <c r="G15" s="372"/>
      <c r="H15" s="362"/>
      <c r="I15" s="370"/>
      <c r="J15" s="362"/>
      <c r="K15" s="362"/>
      <c r="L15" s="362"/>
      <c r="M15" s="369"/>
      <c r="N15" s="368"/>
      <c r="O15" s="360"/>
      <c r="P15" s="366"/>
      <c r="Q15" s="618"/>
    </row>
    <row r="16" spans="1:17" ht="47.25" customHeight="1" x14ac:dyDescent="0.25">
      <c r="A16" s="362"/>
      <c r="B16" s="466" t="s">
        <v>644</v>
      </c>
      <c r="C16" s="428"/>
      <c r="D16" s="428"/>
      <c r="E16" s="428"/>
      <c r="F16" s="394"/>
      <c r="G16" s="359">
        <f>(F13+F14+F15)/3</f>
        <v>100</v>
      </c>
      <c r="H16" s="361"/>
      <c r="I16" s="466" t="s">
        <v>644</v>
      </c>
      <c r="J16" s="361"/>
      <c r="K16" s="361"/>
      <c r="L16" s="361"/>
      <c r="M16" s="359"/>
      <c r="N16" s="359">
        <f>M13</f>
        <v>100</v>
      </c>
      <c r="O16" s="359">
        <f>(N16+G16)/2</f>
        <v>100</v>
      </c>
      <c r="P16" s="428" t="s">
        <v>342</v>
      </c>
      <c r="Q16" s="618"/>
    </row>
    <row r="17" spans="1:17" ht="247.5" customHeight="1" x14ac:dyDescent="0.25">
      <c r="A17" s="427" t="s">
        <v>26</v>
      </c>
      <c r="B17" s="376" t="s">
        <v>622</v>
      </c>
      <c r="C17" s="427"/>
      <c r="D17" s="377"/>
      <c r="E17" s="377"/>
      <c r="F17" s="369"/>
      <c r="G17" s="372"/>
      <c r="H17" s="427" t="str">
        <f>A17</f>
        <v>II</v>
      </c>
      <c r="I17" s="376" t="str">
        <f>B17</f>
        <v>Организация мероприятий в сфере молодежной политики, направленных на формирование системы развития талантливой и инициативной молодежи, создание условий для самореализации подростков и молодежи, развитие творческого, профессионального, интеллектуального потенциалов подростков и молодежи</v>
      </c>
      <c r="J17" s="362"/>
      <c r="K17" s="379"/>
      <c r="L17" s="379"/>
      <c r="M17" s="360"/>
      <c r="N17" s="368"/>
      <c r="O17" s="360"/>
      <c r="P17" s="427"/>
      <c r="Q17" s="618"/>
    </row>
    <row r="18" spans="1:17" ht="46.5" customHeight="1" x14ac:dyDescent="0.25">
      <c r="A18" s="362" t="s">
        <v>28</v>
      </c>
      <c r="B18" s="370" t="s">
        <v>621</v>
      </c>
      <c r="C18" s="362" t="s">
        <v>20</v>
      </c>
      <c r="D18" s="375">
        <v>4000</v>
      </c>
      <c r="E18" s="374">
        <v>4018</v>
      </c>
      <c r="F18" s="369">
        <f t="shared" si="0"/>
        <v>100</v>
      </c>
      <c r="G18" s="372"/>
      <c r="H18" s="362" t="str">
        <f>A18</f>
        <v>2.1.</v>
      </c>
      <c r="I18" s="370" t="s">
        <v>270</v>
      </c>
      <c r="J18" s="362" t="s">
        <v>216</v>
      </c>
      <c r="K18" s="362">
        <v>48</v>
      </c>
      <c r="L18" s="362">
        <v>48</v>
      </c>
      <c r="M18" s="369">
        <v>100</v>
      </c>
      <c r="N18" s="368"/>
      <c r="O18" s="360"/>
      <c r="P18" s="366"/>
      <c r="Q18" s="618"/>
    </row>
    <row r="19" spans="1:17" ht="49.5" x14ac:dyDescent="0.25">
      <c r="A19" s="362" t="s">
        <v>30</v>
      </c>
      <c r="B19" s="370" t="s">
        <v>616</v>
      </c>
      <c r="C19" s="362" t="s">
        <v>18</v>
      </c>
      <c r="D19" s="374">
        <v>100</v>
      </c>
      <c r="E19" s="374">
        <v>100</v>
      </c>
      <c r="F19" s="369">
        <f t="shared" si="0"/>
        <v>100</v>
      </c>
      <c r="G19" s="372"/>
      <c r="H19" s="362"/>
      <c r="I19" s="370"/>
      <c r="J19" s="362"/>
      <c r="K19" s="362"/>
      <c r="L19" s="362"/>
      <c r="M19" s="369"/>
      <c r="N19" s="368"/>
      <c r="O19" s="360"/>
      <c r="P19" s="366"/>
      <c r="Q19" s="618"/>
    </row>
    <row r="20" spans="1:17" ht="47.25" customHeight="1" x14ac:dyDescent="0.25">
      <c r="A20" s="362"/>
      <c r="B20" s="466" t="s">
        <v>644</v>
      </c>
      <c r="C20" s="428"/>
      <c r="D20" s="428"/>
      <c r="E20" s="428"/>
      <c r="F20" s="394"/>
      <c r="G20" s="359">
        <f>(F18+F19)/2</f>
        <v>100</v>
      </c>
      <c r="H20" s="361"/>
      <c r="I20" s="466" t="s">
        <v>644</v>
      </c>
      <c r="J20" s="361"/>
      <c r="K20" s="361"/>
      <c r="L20" s="361"/>
      <c r="M20" s="359"/>
      <c r="N20" s="359">
        <f>M18</f>
        <v>100</v>
      </c>
      <c r="O20" s="359">
        <f>(N20+G20)/2</f>
        <v>100</v>
      </c>
      <c r="P20" s="428" t="s">
        <v>342</v>
      </c>
      <c r="Q20" s="618"/>
    </row>
    <row r="21" spans="1:17" ht="200.25" customHeight="1" x14ac:dyDescent="0.25">
      <c r="A21" s="427" t="s">
        <v>36</v>
      </c>
      <c r="B21" s="376" t="s">
        <v>620</v>
      </c>
      <c r="C21" s="427"/>
      <c r="D21" s="377"/>
      <c r="E21" s="377"/>
      <c r="F21" s="369"/>
      <c r="G21" s="372"/>
      <c r="H21" s="427" t="str">
        <f>A21</f>
        <v>III</v>
      </c>
      <c r="I21" s="376" t="str">
        <f>B21</f>
        <v>Организация мероприятий в сфере молодежной политики, направленных на гражданское и патриотическое воспитание молодежи, воспитание толерантности в молодежной среде, формирование правовых, культурных и нравственных ценностей среди молодежи</v>
      </c>
      <c r="J21" s="362"/>
      <c r="K21" s="362"/>
      <c r="L21" s="362"/>
      <c r="M21" s="360"/>
      <c r="N21" s="368"/>
      <c r="O21" s="360"/>
      <c r="P21" s="427"/>
      <c r="Q21" s="618"/>
    </row>
    <row r="22" spans="1:17" ht="69" customHeight="1" x14ac:dyDescent="0.25">
      <c r="A22" s="362" t="s">
        <v>38</v>
      </c>
      <c r="B22" s="370" t="s">
        <v>617</v>
      </c>
      <c r="C22" s="362" t="s">
        <v>20</v>
      </c>
      <c r="D22" s="375">
        <v>4000</v>
      </c>
      <c r="E22" s="452">
        <v>4168</v>
      </c>
      <c r="F22" s="369">
        <f t="shared" si="0"/>
        <v>100</v>
      </c>
      <c r="G22" s="372"/>
      <c r="H22" s="451" t="str">
        <f>A22</f>
        <v>3.1.</v>
      </c>
      <c r="I22" s="370" t="s">
        <v>270</v>
      </c>
      <c r="J22" s="362" t="s">
        <v>216</v>
      </c>
      <c r="K22" s="362">
        <v>48</v>
      </c>
      <c r="L22" s="362">
        <v>48</v>
      </c>
      <c r="M22" s="369">
        <v>100</v>
      </c>
      <c r="N22" s="368"/>
      <c r="O22" s="360"/>
      <c r="P22" s="366"/>
      <c r="Q22" s="618"/>
    </row>
    <row r="23" spans="1:17" ht="69" customHeight="1" x14ac:dyDescent="0.25">
      <c r="A23" s="362" t="s">
        <v>118</v>
      </c>
      <c r="B23" s="370" t="s">
        <v>619</v>
      </c>
      <c r="C23" s="362" t="s">
        <v>18</v>
      </c>
      <c r="D23" s="374">
        <v>100</v>
      </c>
      <c r="E23" s="374">
        <v>100</v>
      </c>
      <c r="F23" s="369">
        <f t="shared" si="0"/>
        <v>100</v>
      </c>
      <c r="G23" s="372"/>
      <c r="H23" s="362"/>
      <c r="I23" s="370"/>
      <c r="J23" s="362"/>
      <c r="K23" s="362"/>
      <c r="L23" s="362"/>
      <c r="M23" s="369"/>
      <c r="N23" s="368"/>
      <c r="O23" s="360"/>
      <c r="P23" s="366"/>
      <c r="Q23" s="618"/>
    </row>
    <row r="24" spans="1:17" ht="69" customHeight="1" x14ac:dyDescent="0.25">
      <c r="A24" s="362" t="s">
        <v>120</v>
      </c>
      <c r="B24" s="370" t="s">
        <v>616</v>
      </c>
      <c r="C24" s="362" t="s">
        <v>18</v>
      </c>
      <c r="D24" s="374">
        <v>100</v>
      </c>
      <c r="E24" s="374">
        <v>100</v>
      </c>
      <c r="F24" s="369">
        <f t="shared" si="0"/>
        <v>100</v>
      </c>
      <c r="G24" s="372"/>
      <c r="H24" s="362"/>
      <c r="I24" s="370"/>
      <c r="J24" s="362"/>
      <c r="K24" s="362"/>
      <c r="L24" s="362"/>
      <c r="M24" s="369"/>
      <c r="N24" s="368"/>
      <c r="O24" s="360"/>
      <c r="P24" s="366"/>
      <c r="Q24" s="618"/>
    </row>
    <row r="25" spans="1:17" ht="47.25" customHeight="1" x14ac:dyDescent="0.25">
      <c r="A25" s="362"/>
      <c r="B25" s="466" t="s">
        <v>644</v>
      </c>
      <c r="C25" s="428"/>
      <c r="D25" s="428"/>
      <c r="E25" s="428"/>
      <c r="F25" s="394"/>
      <c r="G25" s="359">
        <f>(F22+F23+F24)/3</f>
        <v>100</v>
      </c>
      <c r="H25" s="361"/>
      <c r="I25" s="466" t="s">
        <v>644</v>
      </c>
      <c r="J25" s="361"/>
      <c r="K25" s="361"/>
      <c r="L25" s="361"/>
      <c r="M25" s="359"/>
      <c r="N25" s="359">
        <f>M22</f>
        <v>100</v>
      </c>
      <c r="O25" s="359">
        <f>(N25+G25)/2</f>
        <v>100</v>
      </c>
      <c r="P25" s="428" t="s">
        <v>342</v>
      </c>
      <c r="Q25" s="618"/>
    </row>
    <row r="26" spans="1:17" s="380" customFormat="1" ht="188.25" customHeight="1" x14ac:dyDescent="0.25">
      <c r="A26" s="427" t="s">
        <v>123</v>
      </c>
      <c r="B26" s="376" t="s">
        <v>618</v>
      </c>
      <c r="C26" s="427"/>
      <c r="D26" s="377"/>
      <c r="E26" s="377"/>
      <c r="F26" s="369"/>
      <c r="G26" s="372"/>
      <c r="H26" s="427" t="str">
        <f>A26</f>
        <v>IV</v>
      </c>
      <c r="I26" s="376" t="str">
        <f>B26</f>
        <v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</v>
      </c>
      <c r="J26" s="362"/>
      <c r="K26" s="362"/>
      <c r="L26" s="362"/>
      <c r="M26" s="360"/>
      <c r="N26" s="368"/>
      <c r="O26" s="360"/>
      <c r="P26" s="427"/>
      <c r="Q26" s="618"/>
    </row>
    <row r="27" spans="1:17" ht="33" x14ac:dyDescent="0.25">
      <c r="A27" s="362" t="s">
        <v>124</v>
      </c>
      <c r="B27" s="370" t="s">
        <v>617</v>
      </c>
      <c r="C27" s="362" t="s">
        <v>20</v>
      </c>
      <c r="D27" s="375">
        <v>4000</v>
      </c>
      <c r="E27" s="374">
        <v>4131</v>
      </c>
      <c r="F27" s="369">
        <f t="shared" si="0"/>
        <v>100</v>
      </c>
      <c r="G27" s="372"/>
      <c r="H27" s="451" t="str">
        <f>A27</f>
        <v>4.1.</v>
      </c>
      <c r="I27" s="370" t="s">
        <v>270</v>
      </c>
      <c r="J27" s="362" t="s">
        <v>216</v>
      </c>
      <c r="K27" s="362">
        <v>48</v>
      </c>
      <c r="L27" s="362">
        <v>48</v>
      </c>
      <c r="M27" s="369">
        <v>100</v>
      </c>
      <c r="N27" s="368"/>
      <c r="O27" s="360"/>
      <c r="P27" s="366"/>
      <c r="Q27" s="618"/>
    </row>
    <row r="28" spans="1:17" ht="49.5" x14ac:dyDescent="0.25">
      <c r="A28" s="362" t="s">
        <v>127</v>
      </c>
      <c r="B28" s="370" t="s">
        <v>616</v>
      </c>
      <c r="C28" s="362" t="s">
        <v>18</v>
      </c>
      <c r="D28" s="374">
        <v>100</v>
      </c>
      <c r="E28" s="374">
        <v>100</v>
      </c>
      <c r="F28" s="369">
        <f t="shared" si="0"/>
        <v>100</v>
      </c>
      <c r="G28" s="372"/>
      <c r="H28" s="362"/>
      <c r="I28" s="370"/>
      <c r="J28" s="362"/>
      <c r="K28" s="362"/>
      <c r="L28" s="362"/>
      <c r="M28" s="369"/>
      <c r="N28" s="368"/>
      <c r="O28" s="360"/>
      <c r="P28" s="366"/>
      <c r="Q28" s="618"/>
    </row>
    <row r="29" spans="1:17" ht="47.25" customHeight="1" x14ac:dyDescent="0.25">
      <c r="A29" s="362"/>
      <c r="B29" s="466" t="s">
        <v>644</v>
      </c>
      <c r="C29" s="428"/>
      <c r="D29" s="428"/>
      <c r="E29" s="428"/>
      <c r="F29" s="394"/>
      <c r="G29" s="359">
        <v>100</v>
      </c>
      <c r="H29" s="361"/>
      <c r="I29" s="466" t="s">
        <v>644</v>
      </c>
      <c r="J29" s="361"/>
      <c r="K29" s="361"/>
      <c r="L29" s="361"/>
      <c r="M29" s="359"/>
      <c r="N29" s="359">
        <v>100</v>
      </c>
      <c r="O29" s="359">
        <v>100</v>
      </c>
      <c r="P29" s="428" t="s">
        <v>342</v>
      </c>
      <c r="Q29" s="618"/>
    </row>
    <row r="30" spans="1:17" ht="81" customHeight="1" x14ac:dyDescent="0.25">
      <c r="A30" s="427" t="s">
        <v>129</v>
      </c>
      <c r="B30" s="376" t="s">
        <v>615</v>
      </c>
      <c r="C30" s="427"/>
      <c r="D30" s="377"/>
      <c r="E30" s="374"/>
      <c r="F30" s="369"/>
      <c r="G30" s="372"/>
      <c r="H30" s="427" t="str">
        <f>A30</f>
        <v>V</v>
      </c>
      <c r="I30" s="376" t="str">
        <f>B30</f>
        <v>Организация досуга детей, подростков и молодежи 
(иная досуговая деятельность)</v>
      </c>
      <c r="J30" s="362"/>
      <c r="K30" s="362"/>
      <c r="L30" s="362"/>
      <c r="M30" s="360"/>
      <c r="N30" s="368"/>
      <c r="O30" s="360"/>
      <c r="P30" s="427"/>
      <c r="Q30" s="618"/>
    </row>
    <row r="31" spans="1:17" ht="33" x14ac:dyDescent="0.25">
      <c r="A31" s="362" t="s">
        <v>131</v>
      </c>
      <c r="B31" s="370" t="s">
        <v>611</v>
      </c>
      <c r="C31" s="362" t="s">
        <v>20</v>
      </c>
      <c r="D31" s="375">
        <v>6000</v>
      </c>
      <c r="E31" s="374">
        <v>6208</v>
      </c>
      <c r="F31" s="369">
        <f t="shared" si="0"/>
        <v>100</v>
      </c>
      <c r="G31" s="379"/>
      <c r="H31" s="362" t="str">
        <f>A31</f>
        <v>5.1.</v>
      </c>
      <c r="I31" s="370" t="s">
        <v>610</v>
      </c>
      <c r="J31" s="362" t="s">
        <v>216</v>
      </c>
      <c r="K31" s="362">
        <v>48</v>
      </c>
      <c r="L31" s="362">
        <v>48</v>
      </c>
      <c r="M31" s="369">
        <v>100</v>
      </c>
      <c r="N31" s="378"/>
      <c r="O31" s="360"/>
      <c r="P31" s="366"/>
      <c r="Q31" s="618"/>
    </row>
    <row r="32" spans="1:17" ht="33" x14ac:dyDescent="0.25">
      <c r="A32" s="362" t="s">
        <v>183</v>
      </c>
      <c r="B32" s="370" t="s">
        <v>614</v>
      </c>
      <c r="C32" s="362" t="s">
        <v>216</v>
      </c>
      <c r="D32" s="374">
        <v>15</v>
      </c>
      <c r="E32" s="374">
        <v>56</v>
      </c>
      <c r="F32" s="369">
        <f t="shared" si="0"/>
        <v>100</v>
      </c>
      <c r="G32" s="379"/>
      <c r="H32" s="362"/>
      <c r="I32" s="370"/>
      <c r="J32" s="362"/>
      <c r="K32" s="362"/>
      <c r="L32" s="362"/>
      <c r="M32" s="369"/>
      <c r="N32" s="378"/>
      <c r="O32" s="360"/>
      <c r="P32" s="366"/>
      <c r="Q32" s="618"/>
    </row>
    <row r="33" spans="1:23" ht="49.5" x14ac:dyDescent="0.25">
      <c r="A33" s="362" t="s">
        <v>184</v>
      </c>
      <c r="B33" s="370" t="s">
        <v>613</v>
      </c>
      <c r="C33" s="362" t="s">
        <v>18</v>
      </c>
      <c r="D33" s="374">
        <v>100</v>
      </c>
      <c r="E33" s="379">
        <v>100</v>
      </c>
      <c r="F33" s="369">
        <f t="shared" si="0"/>
        <v>100</v>
      </c>
      <c r="G33" s="379"/>
      <c r="H33" s="362"/>
      <c r="I33" s="370"/>
      <c r="J33" s="362"/>
      <c r="K33" s="362"/>
      <c r="L33" s="362"/>
      <c r="M33" s="369"/>
      <c r="N33" s="378"/>
      <c r="O33" s="360"/>
      <c r="P33" s="366"/>
      <c r="Q33" s="618"/>
    </row>
    <row r="34" spans="1:23" ht="47.25" customHeight="1" x14ac:dyDescent="0.25">
      <c r="A34" s="362"/>
      <c r="B34" s="466" t="s">
        <v>644</v>
      </c>
      <c r="C34" s="428"/>
      <c r="D34" s="428"/>
      <c r="E34" s="428"/>
      <c r="F34" s="394"/>
      <c r="G34" s="359">
        <f>(F31+F32+F33)/3</f>
        <v>100</v>
      </c>
      <c r="H34" s="361"/>
      <c r="I34" s="466" t="s">
        <v>644</v>
      </c>
      <c r="J34" s="361"/>
      <c r="K34" s="361"/>
      <c r="L34" s="361"/>
      <c r="M34" s="359"/>
      <c r="N34" s="359">
        <f>M31</f>
        <v>100</v>
      </c>
      <c r="O34" s="359">
        <f>(N34+G34)/2</f>
        <v>100</v>
      </c>
      <c r="P34" s="428" t="s">
        <v>342</v>
      </c>
      <c r="Q34" s="618"/>
    </row>
    <row r="35" spans="1:23" ht="81" customHeight="1" x14ac:dyDescent="0.25">
      <c r="A35" s="427" t="s">
        <v>140</v>
      </c>
      <c r="B35" s="376" t="s">
        <v>612</v>
      </c>
      <c r="C35" s="427"/>
      <c r="D35" s="377"/>
      <c r="E35" s="377"/>
      <c r="F35" s="369"/>
      <c r="G35" s="372"/>
      <c r="H35" s="427" t="str">
        <f>A35</f>
        <v>VI</v>
      </c>
      <c r="I35" s="376" t="str">
        <f>B35</f>
        <v>Организация досуга детей, подростков и молодежи (общественные объединения)</v>
      </c>
      <c r="J35" s="362"/>
      <c r="K35" s="362"/>
      <c r="L35" s="362"/>
      <c r="M35" s="360"/>
      <c r="N35" s="368"/>
      <c r="O35" s="360"/>
      <c r="P35" s="427"/>
      <c r="Q35" s="618"/>
    </row>
    <row r="36" spans="1:23" ht="33" x14ac:dyDescent="0.25">
      <c r="A36" s="362" t="s">
        <v>142</v>
      </c>
      <c r="B36" s="370" t="s">
        <v>611</v>
      </c>
      <c r="C36" s="362" t="s">
        <v>20</v>
      </c>
      <c r="D36" s="375">
        <v>1500</v>
      </c>
      <c r="E36" s="362">
        <v>4341</v>
      </c>
      <c r="F36" s="369">
        <f t="shared" si="0"/>
        <v>100</v>
      </c>
      <c r="G36" s="372"/>
      <c r="H36" s="371" t="str">
        <f>A36</f>
        <v>6.1.</v>
      </c>
      <c r="I36" s="370" t="s">
        <v>610</v>
      </c>
      <c r="J36" s="362" t="s">
        <v>216</v>
      </c>
      <c r="K36" s="362">
        <v>71</v>
      </c>
      <c r="L36" s="362">
        <v>71</v>
      </c>
      <c r="M36" s="369">
        <v>100</v>
      </c>
      <c r="N36" s="368"/>
      <c r="O36" s="367"/>
      <c r="P36" s="366"/>
      <c r="Q36" s="618"/>
    </row>
    <row r="37" spans="1:23" ht="33" x14ac:dyDescent="0.25">
      <c r="A37" s="362" t="s">
        <v>188</v>
      </c>
      <c r="B37" s="370" t="s">
        <v>609</v>
      </c>
      <c r="C37" s="362" t="s">
        <v>216</v>
      </c>
      <c r="D37" s="374">
        <v>71</v>
      </c>
      <c r="E37" s="362">
        <v>76</v>
      </c>
      <c r="F37" s="369">
        <f t="shared" si="0"/>
        <v>100</v>
      </c>
      <c r="G37" s="372"/>
      <c r="H37" s="371"/>
      <c r="I37" s="370"/>
      <c r="J37" s="362"/>
      <c r="K37" s="362"/>
      <c r="L37" s="362"/>
      <c r="M37" s="369"/>
      <c r="N37" s="368"/>
      <c r="O37" s="367"/>
      <c r="P37" s="366"/>
      <c r="Q37" s="618"/>
    </row>
    <row r="38" spans="1:23" ht="49.5" x14ac:dyDescent="0.35">
      <c r="A38" s="362" t="s">
        <v>608</v>
      </c>
      <c r="B38" s="370" t="s">
        <v>607</v>
      </c>
      <c r="C38" s="362" t="s">
        <v>216</v>
      </c>
      <c r="D38" s="373">
        <v>2</v>
      </c>
      <c r="E38" s="362">
        <v>5</v>
      </c>
      <c r="F38" s="369">
        <f t="shared" si="0"/>
        <v>100</v>
      </c>
      <c r="G38" s="372"/>
      <c r="H38" s="371"/>
      <c r="I38" s="370"/>
      <c r="J38" s="362"/>
      <c r="K38" s="362"/>
      <c r="L38" s="362"/>
      <c r="M38" s="369"/>
      <c r="N38" s="368"/>
      <c r="O38" s="367"/>
      <c r="P38" s="366"/>
      <c r="Q38" s="618"/>
      <c r="R38" s="365"/>
      <c r="U38" s="364"/>
      <c r="V38" s="363"/>
      <c r="W38" s="363"/>
    </row>
    <row r="39" spans="1:23" ht="47.25" customHeight="1" x14ac:dyDescent="0.25">
      <c r="A39" s="393"/>
      <c r="B39" s="466" t="s">
        <v>644</v>
      </c>
      <c r="C39" s="428"/>
      <c r="D39" s="428"/>
      <c r="E39" s="428"/>
      <c r="F39" s="359"/>
      <c r="G39" s="359">
        <f>(F36+F37+F38)/3</f>
        <v>100</v>
      </c>
      <c r="H39" s="361"/>
      <c r="I39" s="466" t="s">
        <v>644</v>
      </c>
      <c r="J39" s="361"/>
      <c r="K39" s="361"/>
      <c r="L39" s="361"/>
      <c r="M39" s="359"/>
      <c r="N39" s="359">
        <f>M36</f>
        <v>100</v>
      </c>
      <c r="O39" s="359">
        <f>(N39+G39)/2</f>
        <v>100</v>
      </c>
      <c r="P39" s="428" t="s">
        <v>342</v>
      </c>
      <c r="Q39" s="618"/>
    </row>
    <row r="40" spans="1:23" ht="15.75" customHeight="1" x14ac:dyDescent="0.25">
      <c r="A40" s="355"/>
      <c r="B40" s="358"/>
      <c r="C40" s="356"/>
      <c r="D40" s="356"/>
      <c r="E40" s="356"/>
      <c r="F40" s="619"/>
      <c r="G40" s="619"/>
      <c r="H40" s="429"/>
      <c r="I40" s="358"/>
      <c r="J40" s="429"/>
      <c r="K40" s="356"/>
      <c r="L40" s="356"/>
      <c r="M40" s="357"/>
      <c r="N40" s="356"/>
      <c r="O40" s="356"/>
    </row>
    <row r="41" spans="1:23" ht="15" customHeight="1" x14ac:dyDescent="0.25">
      <c r="A41" s="355"/>
      <c r="B41" s="358"/>
      <c r="C41" s="429"/>
      <c r="D41" s="356"/>
      <c r="E41" s="356"/>
      <c r="F41" s="357"/>
      <c r="G41" s="356"/>
      <c r="H41" s="356"/>
      <c r="I41" s="358"/>
      <c r="J41" s="356"/>
      <c r="K41" s="356"/>
      <c r="L41" s="356"/>
      <c r="M41" s="357"/>
      <c r="N41" s="356"/>
      <c r="O41" s="356"/>
    </row>
    <row r="42" spans="1:23" ht="15" customHeight="1" x14ac:dyDescent="0.25"/>
    <row r="55" ht="14.25" customHeight="1" x14ac:dyDescent="0.25"/>
  </sheetData>
  <mergeCells count="11">
    <mergeCell ref="B9:G9"/>
    <mergeCell ref="H9:N9"/>
    <mergeCell ref="O9:Q9"/>
    <mergeCell ref="Q12:Q39"/>
    <mergeCell ref="F40:G40"/>
    <mergeCell ref="B8:Q8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scale="40" fitToHeight="0" orientation="landscape" r:id="rId1"/>
  <rowBreaks count="1" manualBreakCount="1">
    <brk id="2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389"/>
  <sheetViews>
    <sheetView tabSelected="1" view="pageBreakPreview" zoomScale="25" zoomScaleNormal="50" zoomScaleSheetLayoutView="25" workbookViewId="0">
      <pane ySplit="10" topLeftCell="A267" activePane="bottomLeft" state="frozen"/>
      <selection pane="bottomLeft" activeCell="A12" sqref="A12:A33"/>
    </sheetView>
  </sheetViews>
  <sheetFormatPr defaultRowHeight="18.75" x14ac:dyDescent="0.25"/>
  <cols>
    <col min="1" max="1" width="9.140625" style="118"/>
    <col min="2" max="2" width="31.42578125" style="396" customWidth="1"/>
    <col min="3" max="3" width="12.42578125" style="396" bestFit="1" customWidth="1"/>
    <col min="4" max="4" width="38.140625" style="235" customWidth="1"/>
    <col min="5" max="5" width="18.85546875" style="396" customWidth="1"/>
    <col min="6" max="6" width="16.140625" style="396" customWidth="1"/>
    <col min="7" max="7" width="18" style="396" customWidth="1"/>
    <col min="8" max="8" width="17.7109375" style="396" customWidth="1"/>
    <col min="9" max="9" width="15.42578125" style="396" customWidth="1"/>
    <col min="10" max="10" width="12.5703125" style="396" customWidth="1"/>
    <col min="11" max="11" width="40.7109375" style="235" customWidth="1"/>
    <col min="12" max="12" width="16.5703125" style="396" customWidth="1"/>
    <col min="13" max="14" width="21" style="396" customWidth="1"/>
    <col min="15" max="15" width="13.42578125" style="396" customWidth="1"/>
    <col min="16" max="16" width="18.42578125" style="396" customWidth="1"/>
    <col min="17" max="17" width="14.42578125" style="396" customWidth="1"/>
    <col min="18" max="18" width="24" style="396" customWidth="1"/>
    <col min="19" max="19" width="25.7109375" style="395" customWidth="1"/>
    <col min="20" max="20" width="9.140625" style="315"/>
    <col min="21" max="16384" width="9.140625" style="60"/>
  </cols>
  <sheetData>
    <row r="1" spans="1:20" x14ac:dyDescent="0.25">
      <c r="B1" s="414"/>
      <c r="C1" s="414"/>
      <c r="D1" s="299"/>
      <c r="E1" s="417"/>
      <c r="F1" s="416"/>
      <c r="G1" s="416"/>
      <c r="H1" s="416"/>
      <c r="I1" s="414"/>
      <c r="J1" s="414"/>
      <c r="K1" s="299"/>
      <c r="L1" s="414"/>
      <c r="M1" s="414"/>
      <c r="N1" s="414"/>
      <c r="O1" s="414"/>
      <c r="P1" s="414"/>
      <c r="Q1" s="414"/>
      <c r="R1" s="414"/>
    </row>
    <row r="2" spans="1:20" ht="20.25" x14ac:dyDescent="0.25">
      <c r="B2" s="638" t="s">
        <v>0</v>
      </c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8"/>
      <c r="Q2" s="638"/>
      <c r="R2" s="414"/>
    </row>
    <row r="3" spans="1:20" ht="16.5" customHeight="1" x14ac:dyDescent="0.25">
      <c r="B3" s="638" t="s">
        <v>1</v>
      </c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  <c r="O3" s="638"/>
      <c r="P3" s="638"/>
      <c r="Q3" s="638"/>
      <c r="R3" s="414"/>
    </row>
    <row r="4" spans="1:20" ht="24" customHeight="1" x14ac:dyDescent="0.25">
      <c r="B4" s="639" t="s">
        <v>498</v>
      </c>
      <c r="C4" s="639"/>
      <c r="D4" s="639"/>
      <c r="E4" s="639"/>
      <c r="F4" s="639"/>
      <c r="G4" s="639"/>
      <c r="H4" s="639"/>
      <c r="I4" s="639"/>
      <c r="J4" s="639"/>
      <c r="K4" s="639"/>
      <c r="L4" s="639"/>
      <c r="M4" s="639"/>
      <c r="N4" s="639"/>
      <c r="O4" s="639"/>
      <c r="P4" s="639"/>
      <c r="Q4" s="639"/>
      <c r="R4" s="414"/>
    </row>
    <row r="5" spans="1:20" x14ac:dyDescent="0.25">
      <c r="B5" s="640" t="s">
        <v>331</v>
      </c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415"/>
    </row>
    <row r="6" spans="1:20" ht="20.25" x14ac:dyDescent="0.25">
      <c r="B6" s="638" t="s">
        <v>271</v>
      </c>
      <c r="C6" s="638"/>
      <c r="D6" s="638"/>
      <c r="E6" s="638"/>
      <c r="F6" s="638"/>
      <c r="G6" s="638"/>
      <c r="H6" s="638"/>
      <c r="I6" s="638"/>
      <c r="J6" s="638"/>
      <c r="K6" s="638"/>
      <c r="L6" s="638"/>
      <c r="M6" s="638"/>
      <c r="N6" s="638"/>
      <c r="O6" s="638"/>
      <c r="P6" s="638"/>
      <c r="Q6" s="638"/>
      <c r="R6" s="414"/>
    </row>
    <row r="7" spans="1:20" x14ac:dyDescent="0.25">
      <c r="B7" s="349"/>
      <c r="C7" s="349"/>
      <c r="D7" s="195"/>
      <c r="E7" s="349"/>
      <c r="F7" s="196"/>
      <c r="G7" s="349"/>
      <c r="H7" s="349"/>
      <c r="I7" s="349"/>
      <c r="J7" s="349"/>
      <c r="K7" s="195"/>
      <c r="L7" s="349"/>
      <c r="M7" s="349"/>
      <c r="N7" s="349"/>
      <c r="O7" s="349"/>
      <c r="P7" s="349"/>
      <c r="Q7" s="349"/>
      <c r="R7" s="414"/>
    </row>
    <row r="8" spans="1:20" ht="16.5" customHeight="1" x14ac:dyDescent="0.25">
      <c r="A8" s="514" t="s">
        <v>3</v>
      </c>
      <c r="B8" s="514" t="s">
        <v>497</v>
      </c>
      <c r="C8" s="432"/>
      <c r="D8" s="514" t="s">
        <v>4</v>
      </c>
      <c r="E8" s="514"/>
      <c r="F8" s="514"/>
      <c r="G8" s="514"/>
      <c r="H8" s="514"/>
      <c r="I8" s="514"/>
      <c r="J8" s="514"/>
      <c r="K8" s="514"/>
      <c r="L8" s="514"/>
      <c r="M8" s="514"/>
      <c r="N8" s="514"/>
      <c r="O8" s="514"/>
      <c r="P8" s="514"/>
      <c r="Q8" s="514"/>
      <c r="R8" s="514"/>
      <c r="S8" s="514"/>
    </row>
    <row r="9" spans="1:20" ht="16.5" customHeight="1" x14ac:dyDescent="0.25">
      <c r="A9" s="514"/>
      <c r="B9" s="514"/>
      <c r="C9" s="432"/>
      <c r="D9" s="514" t="s">
        <v>5</v>
      </c>
      <c r="E9" s="514"/>
      <c r="F9" s="514"/>
      <c r="G9" s="514"/>
      <c r="H9" s="514"/>
      <c r="I9" s="514"/>
      <c r="J9" s="514" t="s">
        <v>6</v>
      </c>
      <c r="K9" s="637"/>
      <c r="L9" s="637"/>
      <c r="M9" s="637"/>
      <c r="N9" s="637"/>
      <c r="O9" s="637"/>
      <c r="P9" s="637"/>
      <c r="Q9" s="514" t="s">
        <v>7</v>
      </c>
      <c r="R9" s="514"/>
      <c r="S9" s="635"/>
    </row>
    <row r="10" spans="1:20" ht="66" x14ac:dyDescent="0.25">
      <c r="A10" s="508"/>
      <c r="B10" s="514"/>
      <c r="C10" s="432" t="s">
        <v>3</v>
      </c>
      <c r="D10" s="288" t="s">
        <v>8</v>
      </c>
      <c r="E10" s="404" t="s">
        <v>9</v>
      </c>
      <c r="F10" s="413" t="s">
        <v>363</v>
      </c>
      <c r="G10" s="413" t="s">
        <v>362</v>
      </c>
      <c r="H10" s="413" t="s">
        <v>361</v>
      </c>
      <c r="I10" s="413" t="s">
        <v>360</v>
      </c>
      <c r="J10" s="432" t="s">
        <v>3</v>
      </c>
      <c r="K10" s="288" t="s">
        <v>8</v>
      </c>
      <c r="L10" s="404" t="s">
        <v>9</v>
      </c>
      <c r="M10" s="413" t="s">
        <v>359</v>
      </c>
      <c r="N10" s="413" t="s">
        <v>358</v>
      </c>
      <c r="O10" s="413" t="s">
        <v>357</v>
      </c>
      <c r="P10" s="413" t="s">
        <v>356</v>
      </c>
      <c r="Q10" s="162" t="s">
        <v>322</v>
      </c>
      <c r="R10" s="432" t="s">
        <v>10</v>
      </c>
      <c r="S10" s="432" t="s">
        <v>11</v>
      </c>
    </row>
    <row r="11" spans="1:20" s="500" customFormat="1" ht="16.5" customHeight="1" x14ac:dyDescent="0.25">
      <c r="A11" s="411">
        <v>1</v>
      </c>
      <c r="B11" s="412">
        <v>2</v>
      </c>
      <c r="C11" s="280">
        <v>3</v>
      </c>
      <c r="D11" s="411">
        <v>4</v>
      </c>
      <c r="E11" s="412">
        <v>5</v>
      </c>
      <c r="F11" s="280">
        <v>6</v>
      </c>
      <c r="G11" s="411">
        <v>7</v>
      </c>
      <c r="H11" s="412">
        <v>8</v>
      </c>
      <c r="I11" s="280">
        <v>9</v>
      </c>
      <c r="J11" s="412">
        <v>10</v>
      </c>
      <c r="K11" s="280">
        <v>11</v>
      </c>
      <c r="L11" s="411">
        <v>12</v>
      </c>
      <c r="M11" s="412">
        <v>13</v>
      </c>
      <c r="N11" s="280">
        <v>14</v>
      </c>
      <c r="O11" s="412">
        <v>15</v>
      </c>
      <c r="P11" s="411">
        <v>16</v>
      </c>
      <c r="Q11" s="411">
        <v>17</v>
      </c>
      <c r="R11" s="280">
        <v>18</v>
      </c>
      <c r="S11" s="280">
        <v>19</v>
      </c>
      <c r="T11" s="499"/>
    </row>
    <row r="12" spans="1:20" ht="111" customHeight="1" x14ac:dyDescent="0.25">
      <c r="A12" s="505" t="s">
        <v>319</v>
      </c>
      <c r="B12" s="508" t="s">
        <v>637</v>
      </c>
      <c r="C12" s="160" t="s">
        <v>13</v>
      </c>
      <c r="D12" s="34" t="s">
        <v>496</v>
      </c>
      <c r="E12" s="434"/>
      <c r="F12" s="138"/>
      <c r="G12" s="444"/>
      <c r="H12" s="436"/>
      <c r="I12" s="436"/>
      <c r="J12" s="160" t="s">
        <v>13</v>
      </c>
      <c r="K12" s="34" t="str">
        <f>D12</f>
        <v>Реализация дополнительных образовательных программ спортивной подготовки по олимпийским видам спорта 
Волейбол (этап начальной подготовки)</v>
      </c>
      <c r="L12" s="434"/>
      <c r="M12" s="138"/>
      <c r="N12" s="138"/>
      <c r="O12" s="436"/>
      <c r="P12" s="193"/>
      <c r="Q12" s="436"/>
      <c r="R12" s="137"/>
      <c r="S12" s="557" t="s">
        <v>104</v>
      </c>
    </row>
    <row r="13" spans="1:20" ht="104.25" customHeight="1" x14ac:dyDescent="0.25">
      <c r="A13" s="506"/>
      <c r="B13" s="509"/>
      <c r="C13" s="139" t="s">
        <v>16</v>
      </c>
      <c r="D13" s="163" t="s">
        <v>407</v>
      </c>
      <c r="E13" s="434" t="s">
        <v>20</v>
      </c>
      <c r="F13" s="135">
        <v>0</v>
      </c>
      <c r="G13" s="135">
        <v>0</v>
      </c>
      <c r="H13" s="444">
        <v>100</v>
      </c>
      <c r="I13" s="190"/>
      <c r="J13" s="139" t="s">
        <v>424</v>
      </c>
      <c r="K13" s="440" t="s">
        <v>406</v>
      </c>
      <c r="L13" s="434" t="s">
        <v>20</v>
      </c>
      <c r="M13" s="165">
        <v>117</v>
      </c>
      <c r="N13" s="165">
        <v>117</v>
      </c>
      <c r="O13" s="194">
        <f>IF(N13/M13*100&gt;110,110,N13/M13*100)</f>
        <v>100</v>
      </c>
      <c r="P13" s="191"/>
      <c r="Q13" s="436"/>
      <c r="R13" s="192"/>
      <c r="S13" s="514"/>
    </row>
    <row r="14" spans="1:20" ht="189.75" customHeight="1" x14ac:dyDescent="0.25">
      <c r="A14" s="506"/>
      <c r="B14" s="509"/>
      <c r="C14" s="139" t="s">
        <v>21</v>
      </c>
      <c r="D14" s="163" t="s">
        <v>405</v>
      </c>
      <c r="E14" s="434" t="s">
        <v>20</v>
      </c>
      <c r="F14" s="135" t="s">
        <v>404</v>
      </c>
      <c r="G14" s="135" t="s">
        <v>404</v>
      </c>
      <c r="H14" s="135" t="s">
        <v>404</v>
      </c>
      <c r="I14" s="135"/>
      <c r="J14" s="139"/>
      <c r="K14" s="440"/>
      <c r="L14" s="434"/>
      <c r="M14" s="434"/>
      <c r="N14" s="434"/>
      <c r="O14" s="190"/>
      <c r="P14" s="191"/>
      <c r="Q14" s="436"/>
      <c r="R14" s="192"/>
      <c r="S14" s="514"/>
    </row>
    <row r="15" spans="1:20" ht="39" customHeight="1" x14ac:dyDescent="0.25">
      <c r="A15" s="506"/>
      <c r="B15" s="509"/>
      <c r="C15" s="18"/>
      <c r="D15" s="466" t="s">
        <v>644</v>
      </c>
      <c r="E15" s="18"/>
      <c r="F15" s="18"/>
      <c r="G15" s="18"/>
      <c r="H15" s="18"/>
      <c r="I15" s="18">
        <f>H13</f>
        <v>100</v>
      </c>
      <c r="J15" s="18"/>
      <c r="K15" s="466" t="s">
        <v>644</v>
      </c>
      <c r="L15" s="18"/>
      <c r="M15" s="18"/>
      <c r="N15" s="18"/>
      <c r="O15" s="18"/>
      <c r="P15" s="18">
        <f>O13</f>
        <v>100</v>
      </c>
      <c r="Q15" s="18">
        <f>(I15+P15)/2</f>
        <v>100</v>
      </c>
      <c r="R15" s="18" t="s">
        <v>25</v>
      </c>
      <c r="S15" s="514"/>
    </row>
    <row r="16" spans="1:20" ht="135" customHeight="1" x14ac:dyDescent="0.25">
      <c r="A16" s="506"/>
      <c r="B16" s="509"/>
      <c r="C16" s="160" t="s">
        <v>26</v>
      </c>
      <c r="D16" s="34" t="s">
        <v>495</v>
      </c>
      <c r="E16" s="434"/>
      <c r="F16" s="138"/>
      <c r="G16" s="444"/>
      <c r="H16" s="436"/>
      <c r="I16" s="436"/>
      <c r="J16" s="160" t="str">
        <f>C16</f>
        <v>II</v>
      </c>
      <c r="K16" s="34" t="str">
        <f>D16</f>
        <v>Реализация дополнительных образовательных программ спортивной подготовки по олимпийским видам спорта 
Волейбол (учебно-тренировочный этап (этап спортивной специализации))</v>
      </c>
      <c r="L16" s="434"/>
      <c r="M16" s="138"/>
      <c r="N16" s="138"/>
      <c r="O16" s="436"/>
      <c r="P16" s="193"/>
      <c r="Q16" s="436"/>
      <c r="R16" s="137"/>
      <c r="S16" s="514"/>
    </row>
    <row r="17" spans="1:19" ht="113.25" customHeight="1" x14ac:dyDescent="0.25">
      <c r="A17" s="506"/>
      <c r="B17" s="509"/>
      <c r="C17" s="139" t="s">
        <v>28</v>
      </c>
      <c r="D17" s="163" t="s">
        <v>407</v>
      </c>
      <c r="E17" s="434" t="s">
        <v>20</v>
      </c>
      <c r="F17" s="135">
        <v>0</v>
      </c>
      <c r="G17" s="135">
        <v>0</v>
      </c>
      <c r="H17" s="444">
        <v>100</v>
      </c>
      <c r="I17" s="190"/>
      <c r="J17" s="139" t="str">
        <f>C17</f>
        <v>2.1.</v>
      </c>
      <c r="K17" s="440" t="s">
        <v>406</v>
      </c>
      <c r="L17" s="434" t="s">
        <v>20</v>
      </c>
      <c r="M17" s="434">
        <v>96</v>
      </c>
      <c r="N17" s="434">
        <v>96</v>
      </c>
      <c r="O17" s="190">
        <f>IF(N17/M17*100&gt;110,110,N17/M17*100)</f>
        <v>100</v>
      </c>
      <c r="P17" s="193"/>
      <c r="Q17" s="436"/>
      <c r="R17" s="137"/>
      <c r="S17" s="514"/>
    </row>
    <row r="18" spans="1:19" ht="199.5" customHeight="1" x14ac:dyDescent="0.25">
      <c r="A18" s="506"/>
      <c r="B18" s="509"/>
      <c r="C18" s="139" t="s">
        <v>30</v>
      </c>
      <c r="D18" s="163" t="s">
        <v>405</v>
      </c>
      <c r="E18" s="434" t="s">
        <v>20</v>
      </c>
      <c r="F18" s="135" t="s">
        <v>404</v>
      </c>
      <c r="G18" s="135" t="s">
        <v>404</v>
      </c>
      <c r="H18" s="135" t="s">
        <v>404</v>
      </c>
      <c r="I18" s="135"/>
      <c r="J18" s="139"/>
      <c r="K18" s="440"/>
      <c r="L18" s="434"/>
      <c r="M18" s="434"/>
      <c r="N18" s="434"/>
      <c r="O18" s="190"/>
      <c r="P18" s="191"/>
      <c r="Q18" s="436"/>
      <c r="R18" s="192"/>
      <c r="S18" s="514"/>
    </row>
    <row r="19" spans="1:19" ht="39.75" x14ac:dyDescent="0.25">
      <c r="A19" s="506"/>
      <c r="B19" s="509"/>
      <c r="C19" s="18"/>
      <c r="D19" s="466" t="s">
        <v>644</v>
      </c>
      <c r="E19" s="18"/>
      <c r="F19" s="18"/>
      <c r="G19" s="18"/>
      <c r="H19" s="18"/>
      <c r="I19" s="18">
        <f>H17</f>
        <v>100</v>
      </c>
      <c r="J19" s="18"/>
      <c r="K19" s="466" t="s">
        <v>644</v>
      </c>
      <c r="L19" s="18"/>
      <c r="M19" s="18"/>
      <c r="N19" s="18"/>
      <c r="O19" s="18"/>
      <c r="P19" s="18">
        <f>O17</f>
        <v>100</v>
      </c>
      <c r="Q19" s="18">
        <f>(I19+P19)/2</f>
        <v>100</v>
      </c>
      <c r="R19" s="18" t="s">
        <v>25</v>
      </c>
      <c r="S19" s="514"/>
    </row>
    <row r="20" spans="1:19" ht="113.25" customHeight="1" x14ac:dyDescent="0.25">
      <c r="A20" s="506"/>
      <c r="B20" s="509"/>
      <c r="C20" s="432" t="s">
        <v>36</v>
      </c>
      <c r="D20" s="34" t="s">
        <v>494</v>
      </c>
      <c r="E20" s="432"/>
      <c r="F20" s="66"/>
      <c r="G20" s="436"/>
      <c r="H20" s="436"/>
      <c r="I20" s="436"/>
      <c r="J20" s="432" t="str">
        <f>C20</f>
        <v>III</v>
      </c>
      <c r="K20" s="34" t="str">
        <f>D20</f>
        <v>Реализация дополнительных образовательных программ спортивной подготовки по олимпийским видам спорта 
Баскетбол (этап начальной подготовки)</v>
      </c>
      <c r="L20" s="434"/>
      <c r="M20" s="444"/>
      <c r="N20" s="444"/>
      <c r="O20" s="436"/>
      <c r="P20" s="436"/>
      <c r="Q20" s="436"/>
      <c r="R20" s="137"/>
      <c r="S20" s="514"/>
    </row>
    <row r="21" spans="1:19" ht="113.25" customHeight="1" x14ac:dyDescent="0.25">
      <c r="A21" s="506"/>
      <c r="B21" s="509"/>
      <c r="C21" s="139" t="s">
        <v>38</v>
      </c>
      <c r="D21" s="163" t="s">
        <v>407</v>
      </c>
      <c r="E21" s="434" t="s">
        <v>20</v>
      </c>
      <c r="F21" s="135">
        <v>0</v>
      </c>
      <c r="G21" s="135">
        <v>0</v>
      </c>
      <c r="H21" s="444">
        <v>100</v>
      </c>
      <c r="I21" s="190"/>
      <c r="J21" s="139" t="str">
        <f>C21</f>
        <v>3.1.</v>
      </c>
      <c r="K21" s="440" t="s">
        <v>406</v>
      </c>
      <c r="L21" s="434" t="s">
        <v>20</v>
      </c>
      <c r="M21" s="434">
        <v>120</v>
      </c>
      <c r="N21" s="434">
        <v>120</v>
      </c>
      <c r="O21" s="444">
        <f>IF(N21/M21*100&gt;110,110,N21/M21*100)</f>
        <v>100</v>
      </c>
      <c r="P21" s="436"/>
      <c r="Q21" s="436"/>
      <c r="R21" s="137"/>
      <c r="S21" s="514"/>
    </row>
    <row r="22" spans="1:19" ht="190.5" customHeight="1" x14ac:dyDescent="0.25">
      <c r="A22" s="506"/>
      <c r="B22" s="509"/>
      <c r="C22" s="139" t="s">
        <v>118</v>
      </c>
      <c r="D22" s="163" t="s">
        <v>405</v>
      </c>
      <c r="E22" s="434" t="s">
        <v>20</v>
      </c>
      <c r="F22" s="135" t="s">
        <v>404</v>
      </c>
      <c r="G22" s="135" t="s">
        <v>404</v>
      </c>
      <c r="H22" s="135" t="s">
        <v>404</v>
      </c>
      <c r="I22" s="135"/>
      <c r="J22" s="139"/>
      <c r="K22" s="440"/>
      <c r="L22" s="434"/>
      <c r="M22" s="434"/>
      <c r="N22" s="434"/>
      <c r="O22" s="444"/>
      <c r="P22" s="191"/>
      <c r="Q22" s="436"/>
      <c r="R22" s="192"/>
      <c r="S22" s="514"/>
    </row>
    <row r="23" spans="1:19" ht="39.75" x14ac:dyDescent="0.25">
      <c r="A23" s="506"/>
      <c r="B23" s="509"/>
      <c r="C23" s="18"/>
      <c r="D23" s="466" t="s">
        <v>644</v>
      </c>
      <c r="E23" s="18"/>
      <c r="F23" s="18"/>
      <c r="G23" s="18"/>
      <c r="H23" s="18"/>
      <c r="I23" s="18">
        <f>H21</f>
        <v>100</v>
      </c>
      <c r="J23" s="18"/>
      <c r="K23" s="466" t="s">
        <v>644</v>
      </c>
      <c r="L23" s="18"/>
      <c r="M23" s="18"/>
      <c r="N23" s="18"/>
      <c r="O23" s="18"/>
      <c r="P23" s="18">
        <f>O21</f>
        <v>100</v>
      </c>
      <c r="Q23" s="18">
        <f>(I23+P23)/2</f>
        <v>100</v>
      </c>
      <c r="R23" s="18" t="s">
        <v>25</v>
      </c>
      <c r="S23" s="514"/>
    </row>
    <row r="24" spans="1:19" ht="129" customHeight="1" x14ac:dyDescent="0.25">
      <c r="A24" s="506"/>
      <c r="B24" s="509"/>
      <c r="C24" s="160" t="s">
        <v>123</v>
      </c>
      <c r="D24" s="34" t="s">
        <v>493</v>
      </c>
      <c r="E24" s="432"/>
      <c r="F24" s="66"/>
      <c r="G24" s="436"/>
      <c r="H24" s="436"/>
      <c r="I24" s="436"/>
      <c r="J24" s="160" t="str">
        <f>C24</f>
        <v>IV</v>
      </c>
      <c r="K24" s="34" t="str">
        <f>D24</f>
        <v>Реализация дополнительных образовательных программ спортивной подготовки по олимпийским видам спорта 
Баскетбол (учебно-тренировочный этап (этап спортивной специализации))</v>
      </c>
      <c r="L24" s="434"/>
      <c r="M24" s="138"/>
      <c r="N24" s="138"/>
      <c r="O24" s="436"/>
      <c r="P24" s="191"/>
      <c r="Q24" s="436"/>
      <c r="R24" s="137"/>
      <c r="S24" s="514"/>
    </row>
    <row r="25" spans="1:19" ht="114" customHeight="1" x14ac:dyDescent="0.25">
      <c r="A25" s="506"/>
      <c r="B25" s="509"/>
      <c r="C25" s="139" t="s">
        <v>124</v>
      </c>
      <c r="D25" s="163" t="s">
        <v>407</v>
      </c>
      <c r="E25" s="434" t="s">
        <v>20</v>
      </c>
      <c r="F25" s="135">
        <v>0</v>
      </c>
      <c r="G25" s="135">
        <v>0</v>
      </c>
      <c r="H25" s="444">
        <v>100</v>
      </c>
      <c r="I25" s="190"/>
      <c r="J25" s="139" t="str">
        <f>C25</f>
        <v>4.1.</v>
      </c>
      <c r="K25" s="440" t="s">
        <v>406</v>
      </c>
      <c r="L25" s="434" t="s">
        <v>20</v>
      </c>
      <c r="M25" s="434">
        <v>216</v>
      </c>
      <c r="N25" s="434">
        <v>216</v>
      </c>
      <c r="O25" s="444">
        <f>IF(N25/M25*100&gt;110,110,N25/M25*100)</f>
        <v>100</v>
      </c>
      <c r="P25" s="191"/>
      <c r="Q25" s="436"/>
      <c r="R25" s="137"/>
      <c r="S25" s="514"/>
    </row>
    <row r="26" spans="1:19" ht="193.5" customHeight="1" x14ac:dyDescent="0.25">
      <c r="A26" s="506"/>
      <c r="B26" s="509"/>
      <c r="C26" s="139" t="s">
        <v>127</v>
      </c>
      <c r="D26" s="163" t="s">
        <v>405</v>
      </c>
      <c r="E26" s="434" t="s">
        <v>20</v>
      </c>
      <c r="F26" s="135" t="s">
        <v>404</v>
      </c>
      <c r="G26" s="135" t="s">
        <v>404</v>
      </c>
      <c r="H26" s="135" t="s">
        <v>404</v>
      </c>
      <c r="I26" s="135"/>
      <c r="J26" s="139"/>
      <c r="K26" s="440"/>
      <c r="L26" s="434"/>
      <c r="M26" s="434"/>
      <c r="N26" s="434"/>
      <c r="O26" s="444"/>
      <c r="P26" s="191"/>
      <c r="Q26" s="436"/>
      <c r="R26" s="192"/>
      <c r="S26" s="514"/>
    </row>
    <row r="27" spans="1:19" ht="39.75" x14ac:dyDescent="0.25">
      <c r="A27" s="506"/>
      <c r="B27" s="509"/>
      <c r="C27" s="18"/>
      <c r="D27" s="466" t="s">
        <v>644</v>
      </c>
      <c r="E27" s="18"/>
      <c r="F27" s="18"/>
      <c r="G27" s="18"/>
      <c r="H27" s="18"/>
      <c r="I27" s="18">
        <f>H25</f>
        <v>100</v>
      </c>
      <c r="J27" s="18"/>
      <c r="K27" s="466" t="s">
        <v>644</v>
      </c>
      <c r="L27" s="18"/>
      <c r="M27" s="18"/>
      <c r="N27" s="18"/>
      <c r="O27" s="18"/>
      <c r="P27" s="18">
        <f>O25</f>
        <v>100</v>
      </c>
      <c r="Q27" s="18">
        <f>(I27+P27)/2</f>
        <v>100</v>
      </c>
      <c r="R27" s="18" t="s">
        <v>25</v>
      </c>
      <c r="S27" s="514"/>
    </row>
    <row r="28" spans="1:19" ht="63.75" customHeight="1" x14ac:dyDescent="0.25">
      <c r="A28" s="506"/>
      <c r="B28" s="509"/>
      <c r="C28" s="160" t="s">
        <v>129</v>
      </c>
      <c r="D28" s="34" t="s">
        <v>415</v>
      </c>
      <c r="E28" s="434"/>
      <c r="F28" s="135"/>
      <c r="G28" s="444"/>
      <c r="H28" s="436"/>
      <c r="I28" s="436"/>
      <c r="J28" s="160" t="str">
        <f>C28</f>
        <v>V</v>
      </c>
      <c r="K28" s="34" t="str">
        <f>D28</f>
        <v xml:space="preserve">Реализация дополнительных общеразвивающих программ </v>
      </c>
      <c r="L28" s="434"/>
      <c r="M28" s="138"/>
      <c r="N28" s="138"/>
      <c r="O28" s="436"/>
      <c r="P28" s="191"/>
      <c r="Q28" s="436"/>
      <c r="R28" s="137"/>
      <c r="S28" s="514"/>
    </row>
    <row r="29" spans="1:19" ht="36.75" customHeight="1" x14ac:dyDescent="0.25">
      <c r="A29" s="506"/>
      <c r="B29" s="509"/>
      <c r="C29" s="139" t="s">
        <v>131</v>
      </c>
      <c r="D29" s="440" t="s">
        <v>404</v>
      </c>
      <c r="E29" s="434" t="s">
        <v>404</v>
      </c>
      <c r="F29" s="434" t="s">
        <v>404</v>
      </c>
      <c r="G29" s="434" t="s">
        <v>404</v>
      </c>
      <c r="H29" s="135" t="s">
        <v>404</v>
      </c>
      <c r="I29" s="434"/>
      <c r="J29" s="139" t="str">
        <f>C29</f>
        <v>5.1.</v>
      </c>
      <c r="K29" s="440" t="s">
        <v>132</v>
      </c>
      <c r="L29" s="434" t="s">
        <v>414</v>
      </c>
      <c r="M29" s="162">
        <v>38111</v>
      </c>
      <c r="N29" s="162">
        <v>36518</v>
      </c>
      <c r="O29" s="444">
        <f>IF(N29/M29*100&gt;110,110,N29/M29*100)</f>
        <v>95.820104431791336</v>
      </c>
      <c r="P29" s="191"/>
      <c r="Q29" s="436"/>
      <c r="R29" s="137"/>
      <c r="S29" s="514"/>
    </row>
    <row r="30" spans="1:19" ht="39.75" x14ac:dyDescent="0.25">
      <c r="A30" s="506"/>
      <c r="B30" s="509"/>
      <c r="C30" s="18"/>
      <c r="D30" s="466" t="s">
        <v>644</v>
      </c>
      <c r="E30" s="18"/>
      <c r="F30" s="18"/>
      <c r="G30" s="18"/>
      <c r="H30" s="18"/>
      <c r="I30" s="18" t="s">
        <v>245</v>
      </c>
      <c r="J30" s="18"/>
      <c r="K30" s="466" t="s">
        <v>644</v>
      </c>
      <c r="L30" s="18"/>
      <c r="M30" s="18"/>
      <c r="N30" s="18"/>
      <c r="O30" s="18"/>
      <c r="P30" s="18">
        <f>O29</f>
        <v>95.820104431791336</v>
      </c>
      <c r="Q30" s="18">
        <f>P30</f>
        <v>95.820104431791336</v>
      </c>
      <c r="R30" s="18" t="s">
        <v>112</v>
      </c>
      <c r="S30" s="514"/>
    </row>
    <row r="31" spans="1:19" ht="53.25" customHeight="1" x14ac:dyDescent="0.25">
      <c r="A31" s="506"/>
      <c r="B31" s="509"/>
      <c r="C31" s="160" t="s">
        <v>140</v>
      </c>
      <c r="D31" s="34" t="s">
        <v>369</v>
      </c>
      <c r="E31" s="432"/>
      <c r="F31" s="66"/>
      <c r="G31" s="436"/>
      <c r="H31" s="436"/>
      <c r="I31" s="436"/>
      <c r="J31" s="160" t="str">
        <f>C31</f>
        <v>VI</v>
      </c>
      <c r="K31" s="34" t="str">
        <f>D31</f>
        <v>Организация мероприятий по подготовке спортивных сборных команд</v>
      </c>
      <c r="L31" s="434"/>
      <c r="M31" s="138"/>
      <c r="N31" s="138"/>
      <c r="O31" s="436"/>
      <c r="P31" s="191"/>
      <c r="Q31" s="436"/>
      <c r="R31" s="137"/>
      <c r="S31" s="514"/>
    </row>
    <row r="32" spans="1:19" ht="85.5" customHeight="1" x14ac:dyDescent="0.25">
      <c r="A32" s="506"/>
      <c r="B32" s="509"/>
      <c r="C32" s="139" t="s">
        <v>142</v>
      </c>
      <c r="D32" s="440" t="s">
        <v>403</v>
      </c>
      <c r="E32" s="434" t="s">
        <v>18</v>
      </c>
      <c r="F32" s="135">
        <v>5</v>
      </c>
      <c r="G32" s="444">
        <v>22.6</v>
      </c>
      <c r="H32" s="444">
        <f>IF(G32/F32*100&gt;100,100,G32/F32*100)</f>
        <v>100</v>
      </c>
      <c r="I32" s="444"/>
      <c r="J32" s="139" t="str">
        <f>C32</f>
        <v>6.1.</v>
      </c>
      <c r="K32" s="440" t="s">
        <v>367</v>
      </c>
      <c r="L32" s="434" t="s">
        <v>20</v>
      </c>
      <c r="M32" s="162">
        <v>110</v>
      </c>
      <c r="N32" s="162">
        <v>182</v>
      </c>
      <c r="O32" s="444">
        <f>IF(N32/M32*100&gt;110,110,N32/M32*100)</f>
        <v>110</v>
      </c>
      <c r="P32" s="191"/>
      <c r="Q32" s="436"/>
      <c r="R32" s="137"/>
      <c r="S32" s="514"/>
    </row>
    <row r="33" spans="1:19" ht="51" customHeight="1" x14ac:dyDescent="0.25">
      <c r="A33" s="507"/>
      <c r="B33" s="510"/>
      <c r="C33" s="18"/>
      <c r="D33" s="466" t="s">
        <v>644</v>
      </c>
      <c r="E33" s="18"/>
      <c r="F33" s="18"/>
      <c r="G33" s="18"/>
      <c r="H33" s="18"/>
      <c r="I33" s="18">
        <f>H32</f>
        <v>100</v>
      </c>
      <c r="J33" s="18"/>
      <c r="K33" s="466" t="s">
        <v>644</v>
      </c>
      <c r="L33" s="18"/>
      <c r="M33" s="18"/>
      <c r="N33" s="18"/>
      <c r="O33" s="18"/>
      <c r="P33" s="18">
        <f>O32</f>
        <v>110</v>
      </c>
      <c r="Q33" s="18">
        <f>(I33+P33)/2</f>
        <v>105</v>
      </c>
      <c r="R33" s="18" t="s">
        <v>25</v>
      </c>
      <c r="S33" s="514"/>
    </row>
    <row r="34" spans="1:19" ht="105.75" customHeight="1" x14ac:dyDescent="0.25">
      <c r="A34" s="505" t="s">
        <v>492</v>
      </c>
      <c r="B34" s="632" t="s">
        <v>491</v>
      </c>
      <c r="C34" s="170" t="s">
        <v>13</v>
      </c>
      <c r="D34" s="167" t="s">
        <v>490</v>
      </c>
      <c r="E34" s="162"/>
      <c r="F34" s="173"/>
      <c r="G34" s="171"/>
      <c r="H34" s="443"/>
      <c r="I34" s="443"/>
      <c r="J34" s="170" t="str">
        <f>C34</f>
        <v>I</v>
      </c>
      <c r="K34" s="167" t="str">
        <f>D34</f>
        <v>Реализация дополнительных образовательных программ спортивной подготовки по олимпийским видам спорта 
Прыжки на батуте (этап начальной подготовки)</v>
      </c>
      <c r="L34" s="162"/>
      <c r="M34" s="182"/>
      <c r="N34" s="182"/>
      <c r="O34" s="443"/>
      <c r="P34" s="31"/>
      <c r="Q34" s="443"/>
      <c r="R34" s="185"/>
      <c r="S34" s="636" t="s">
        <v>104</v>
      </c>
    </row>
    <row r="35" spans="1:19" ht="99" x14ac:dyDescent="0.25">
      <c r="A35" s="506"/>
      <c r="B35" s="633"/>
      <c r="C35" s="174" t="s">
        <v>16</v>
      </c>
      <c r="D35" s="163" t="s">
        <v>407</v>
      </c>
      <c r="E35" s="162" t="s">
        <v>20</v>
      </c>
      <c r="F35" s="173">
        <v>0</v>
      </c>
      <c r="G35" s="173">
        <v>0</v>
      </c>
      <c r="H35" s="171">
        <v>100</v>
      </c>
      <c r="I35" s="190"/>
      <c r="J35" s="174" t="str">
        <f>C35</f>
        <v>1.1.</v>
      </c>
      <c r="K35" s="161" t="s">
        <v>406</v>
      </c>
      <c r="L35" s="162" t="s">
        <v>20</v>
      </c>
      <c r="M35" s="162">
        <v>10</v>
      </c>
      <c r="N35" s="162">
        <v>10</v>
      </c>
      <c r="O35" s="171">
        <f>IF(N35/M35*100&gt;110,110,N35/M35*100)</f>
        <v>100</v>
      </c>
      <c r="P35" s="31"/>
      <c r="Q35" s="443"/>
      <c r="R35" s="185"/>
      <c r="S35" s="515"/>
    </row>
    <row r="36" spans="1:19" s="315" customFormat="1" ht="181.5" x14ac:dyDescent="0.25">
      <c r="A36" s="506"/>
      <c r="B36" s="633"/>
      <c r="C36" s="174" t="s">
        <v>21</v>
      </c>
      <c r="D36" s="163" t="s">
        <v>405</v>
      </c>
      <c r="E36" s="162" t="s">
        <v>20</v>
      </c>
      <c r="F36" s="162" t="s">
        <v>404</v>
      </c>
      <c r="G36" s="162" t="s">
        <v>404</v>
      </c>
      <c r="H36" s="173" t="s">
        <v>404</v>
      </c>
      <c r="I36" s="162"/>
      <c r="J36" s="174"/>
      <c r="K36" s="161"/>
      <c r="L36" s="162"/>
      <c r="M36" s="162"/>
      <c r="N36" s="162"/>
      <c r="O36" s="171"/>
      <c r="P36" s="401"/>
      <c r="Q36" s="443"/>
      <c r="R36" s="409"/>
      <c r="S36" s="515"/>
    </row>
    <row r="37" spans="1:19" ht="39.75" x14ac:dyDescent="0.25">
      <c r="A37" s="506"/>
      <c r="B37" s="633"/>
      <c r="C37" s="18"/>
      <c r="D37" s="466" t="s">
        <v>644</v>
      </c>
      <c r="E37" s="18"/>
      <c r="F37" s="18"/>
      <c r="G37" s="18"/>
      <c r="H37" s="18"/>
      <c r="I37" s="18">
        <f>H35</f>
        <v>100</v>
      </c>
      <c r="J37" s="18"/>
      <c r="K37" s="466" t="s">
        <v>644</v>
      </c>
      <c r="L37" s="18"/>
      <c r="M37" s="18"/>
      <c r="N37" s="18"/>
      <c r="O37" s="18"/>
      <c r="P37" s="18">
        <f>O35</f>
        <v>100</v>
      </c>
      <c r="Q37" s="18">
        <f>(I37+P37)/2</f>
        <v>100</v>
      </c>
      <c r="R37" s="18" t="s">
        <v>25</v>
      </c>
      <c r="S37" s="514"/>
    </row>
    <row r="38" spans="1:19" s="315" customFormat="1" ht="169.5" customHeight="1" x14ac:dyDescent="0.25">
      <c r="A38" s="506"/>
      <c r="B38" s="633"/>
      <c r="C38" s="450" t="s">
        <v>26</v>
      </c>
      <c r="D38" s="167" t="s">
        <v>489</v>
      </c>
      <c r="E38" s="450"/>
      <c r="F38" s="169"/>
      <c r="G38" s="443"/>
      <c r="H38" s="443"/>
      <c r="I38" s="443"/>
      <c r="J38" s="170" t="str">
        <f>C38</f>
        <v>II</v>
      </c>
      <c r="K38" s="167" t="str">
        <f>D38</f>
        <v>Реализация дополнительных образовательных программ спортивной подготовки по олимпийским видам спорта 
Прыжки на батуте (учебно-тренировочный этап (этап спортивной специализации))
прыжки на батуте (тренировочный этап (этап спортивной специализации))</v>
      </c>
      <c r="L38" s="162"/>
      <c r="M38" s="171"/>
      <c r="N38" s="171"/>
      <c r="O38" s="443"/>
      <c r="P38" s="401"/>
      <c r="Q38" s="443"/>
      <c r="R38" s="185"/>
      <c r="S38" s="515"/>
    </row>
    <row r="39" spans="1:19" s="315" customFormat="1" ht="99" x14ac:dyDescent="0.25">
      <c r="A39" s="506"/>
      <c r="B39" s="633"/>
      <c r="C39" s="174" t="s">
        <v>28</v>
      </c>
      <c r="D39" s="163" t="s">
        <v>407</v>
      </c>
      <c r="E39" s="162" t="s">
        <v>20</v>
      </c>
      <c r="F39" s="173">
        <v>0</v>
      </c>
      <c r="G39" s="173">
        <v>0</v>
      </c>
      <c r="H39" s="171">
        <v>100</v>
      </c>
      <c r="I39" s="190"/>
      <c r="J39" s="174" t="str">
        <f>C39</f>
        <v>2.1.</v>
      </c>
      <c r="K39" s="161" t="s">
        <v>406</v>
      </c>
      <c r="L39" s="162" t="s">
        <v>20</v>
      </c>
      <c r="M39" s="162">
        <v>51</v>
      </c>
      <c r="N39" s="162">
        <v>51</v>
      </c>
      <c r="O39" s="171">
        <f>IF(N39/M39*100&gt;110,110,N39/M39*100)</f>
        <v>100</v>
      </c>
      <c r="P39" s="401"/>
      <c r="Q39" s="443"/>
      <c r="R39" s="185"/>
      <c r="S39" s="515"/>
    </row>
    <row r="40" spans="1:19" s="315" customFormat="1" ht="181.5" x14ac:dyDescent="0.25">
      <c r="A40" s="506"/>
      <c r="B40" s="633"/>
      <c r="C40" s="174" t="s">
        <v>30</v>
      </c>
      <c r="D40" s="163" t="s">
        <v>405</v>
      </c>
      <c r="E40" s="162" t="s">
        <v>20</v>
      </c>
      <c r="F40" s="162" t="s">
        <v>404</v>
      </c>
      <c r="G40" s="162" t="s">
        <v>404</v>
      </c>
      <c r="H40" s="173" t="s">
        <v>404</v>
      </c>
      <c r="I40" s="162"/>
      <c r="J40" s="174"/>
      <c r="K40" s="161"/>
      <c r="L40" s="162"/>
      <c r="M40" s="162"/>
      <c r="N40" s="162"/>
      <c r="O40" s="171"/>
      <c r="P40" s="401"/>
      <c r="Q40" s="443"/>
      <c r="R40" s="409"/>
      <c r="S40" s="515"/>
    </row>
    <row r="41" spans="1:19" ht="39.75" x14ac:dyDescent="0.25">
      <c r="A41" s="506"/>
      <c r="B41" s="633"/>
      <c r="C41" s="18"/>
      <c r="D41" s="466" t="s">
        <v>644</v>
      </c>
      <c r="E41" s="18"/>
      <c r="F41" s="18"/>
      <c r="G41" s="18"/>
      <c r="H41" s="18"/>
      <c r="I41" s="18">
        <f>H39</f>
        <v>100</v>
      </c>
      <c r="J41" s="18"/>
      <c r="K41" s="466" t="s">
        <v>644</v>
      </c>
      <c r="L41" s="18"/>
      <c r="M41" s="18"/>
      <c r="N41" s="18"/>
      <c r="O41" s="18"/>
      <c r="P41" s="18">
        <f>O39</f>
        <v>100</v>
      </c>
      <c r="Q41" s="18">
        <f>(I41+P41)/2</f>
        <v>100</v>
      </c>
      <c r="R41" s="18" t="s">
        <v>25</v>
      </c>
      <c r="S41" s="514"/>
    </row>
    <row r="42" spans="1:19" s="315" customFormat="1" ht="115.5" x14ac:dyDescent="0.25">
      <c r="A42" s="506"/>
      <c r="B42" s="633"/>
      <c r="C42" s="170" t="s">
        <v>36</v>
      </c>
      <c r="D42" s="167" t="s">
        <v>488</v>
      </c>
      <c r="E42" s="450"/>
      <c r="F42" s="169"/>
      <c r="G42" s="443"/>
      <c r="H42" s="443"/>
      <c r="I42" s="443"/>
      <c r="J42" s="170" t="str">
        <f>C42</f>
        <v>III</v>
      </c>
      <c r="K42" s="167" t="str">
        <f>D42</f>
        <v>Реализация дополнительных образовательных программ спортивной подготовки по олимпийским видам спорта 
Прыжки на батуте (этап совершенствования спортивного мастерства)</v>
      </c>
      <c r="L42" s="162"/>
      <c r="M42" s="182"/>
      <c r="N42" s="182"/>
      <c r="O42" s="443"/>
      <c r="P42" s="401"/>
      <c r="Q42" s="443"/>
      <c r="R42" s="185"/>
      <c r="S42" s="515"/>
    </row>
    <row r="43" spans="1:19" s="315" customFormat="1" ht="99" x14ac:dyDescent="0.25">
      <c r="A43" s="506"/>
      <c r="B43" s="633"/>
      <c r="C43" s="174" t="s">
        <v>38</v>
      </c>
      <c r="D43" s="163" t="s">
        <v>407</v>
      </c>
      <c r="E43" s="162" t="s">
        <v>20</v>
      </c>
      <c r="F43" s="173">
        <v>0</v>
      </c>
      <c r="G43" s="173">
        <v>0</v>
      </c>
      <c r="H43" s="171">
        <v>100</v>
      </c>
      <c r="I43" s="443"/>
      <c r="J43" s="174" t="str">
        <f>C43</f>
        <v>3.1.</v>
      </c>
      <c r="K43" s="161" t="s">
        <v>406</v>
      </c>
      <c r="L43" s="162" t="s">
        <v>20</v>
      </c>
      <c r="M43" s="162">
        <v>6</v>
      </c>
      <c r="N43" s="162">
        <v>6</v>
      </c>
      <c r="O43" s="171">
        <f>IF(N43/M43*100&gt;110,110,N43/M43*100)</f>
        <v>100</v>
      </c>
      <c r="P43" s="401"/>
      <c r="Q43" s="443"/>
      <c r="R43" s="189"/>
      <c r="S43" s="515"/>
    </row>
    <row r="44" spans="1:19" s="315" customFormat="1" ht="181.5" x14ac:dyDescent="0.25">
      <c r="A44" s="506"/>
      <c r="B44" s="633"/>
      <c r="C44" s="174" t="s">
        <v>118</v>
      </c>
      <c r="D44" s="163" t="s">
        <v>405</v>
      </c>
      <c r="E44" s="162" t="s">
        <v>20</v>
      </c>
      <c r="F44" s="162" t="s">
        <v>404</v>
      </c>
      <c r="G44" s="162" t="s">
        <v>404</v>
      </c>
      <c r="H44" s="173" t="s">
        <v>404</v>
      </c>
      <c r="I44" s="162"/>
      <c r="J44" s="174"/>
      <c r="K44" s="161"/>
      <c r="L44" s="162"/>
      <c r="M44" s="162"/>
      <c r="N44" s="162"/>
      <c r="O44" s="171"/>
      <c r="P44" s="401"/>
      <c r="Q44" s="443"/>
      <c r="R44" s="189"/>
      <c r="S44" s="515"/>
    </row>
    <row r="45" spans="1:19" ht="39.75" x14ac:dyDescent="0.25">
      <c r="A45" s="506"/>
      <c r="B45" s="633"/>
      <c r="C45" s="18"/>
      <c r="D45" s="466" t="s">
        <v>644</v>
      </c>
      <c r="E45" s="18"/>
      <c r="F45" s="18"/>
      <c r="G45" s="18"/>
      <c r="H45" s="18"/>
      <c r="I45" s="18">
        <f>H43</f>
        <v>100</v>
      </c>
      <c r="J45" s="18"/>
      <c r="K45" s="466" t="s">
        <v>644</v>
      </c>
      <c r="L45" s="18"/>
      <c r="M45" s="18"/>
      <c r="N45" s="18"/>
      <c r="O45" s="18"/>
      <c r="P45" s="18">
        <f>O43</f>
        <v>100</v>
      </c>
      <c r="Q45" s="18">
        <f>(I45+P45)/2</f>
        <v>100</v>
      </c>
      <c r="R45" s="18" t="s">
        <v>25</v>
      </c>
      <c r="S45" s="514"/>
    </row>
    <row r="46" spans="1:19" s="315" customFormat="1" ht="124.5" customHeight="1" x14ac:dyDescent="0.25">
      <c r="A46" s="506"/>
      <c r="B46" s="633"/>
      <c r="C46" s="170" t="s">
        <v>123</v>
      </c>
      <c r="D46" s="167" t="s">
        <v>487</v>
      </c>
      <c r="E46" s="450"/>
      <c r="F46" s="169"/>
      <c r="G46" s="443"/>
      <c r="H46" s="443"/>
      <c r="I46" s="443"/>
      <c r="J46" s="170" t="str">
        <f>C46</f>
        <v>IV</v>
      </c>
      <c r="K46" s="167" t="str">
        <f>D46</f>
        <v>Реализация дополнительных образовательных программ спортивной подготовки по олимпийским видам спорта 
Спортивная гимнастика (этап начальной подготовки)</v>
      </c>
      <c r="L46" s="162"/>
      <c r="M46" s="182"/>
      <c r="N46" s="182"/>
      <c r="O46" s="443"/>
      <c r="P46" s="401"/>
      <c r="Q46" s="443"/>
      <c r="R46" s="185"/>
      <c r="S46" s="515"/>
    </row>
    <row r="47" spans="1:19" s="315" customFormat="1" ht="99" x14ac:dyDescent="0.25">
      <c r="A47" s="506"/>
      <c r="B47" s="633"/>
      <c r="C47" s="174" t="s">
        <v>124</v>
      </c>
      <c r="D47" s="163" t="s">
        <v>407</v>
      </c>
      <c r="E47" s="162" t="s">
        <v>20</v>
      </c>
      <c r="F47" s="173">
        <v>0</v>
      </c>
      <c r="G47" s="173">
        <v>0</v>
      </c>
      <c r="H47" s="171">
        <v>100</v>
      </c>
      <c r="I47" s="443"/>
      <c r="J47" s="174" t="str">
        <f>C47</f>
        <v>4.1.</v>
      </c>
      <c r="K47" s="161" t="s">
        <v>406</v>
      </c>
      <c r="L47" s="162" t="s">
        <v>20</v>
      </c>
      <c r="M47" s="162">
        <v>63</v>
      </c>
      <c r="N47" s="162">
        <v>63</v>
      </c>
      <c r="O47" s="171">
        <f>IF(N47/M47*100&gt;110,110,N47/M47*100)</f>
        <v>100</v>
      </c>
      <c r="P47" s="401"/>
      <c r="Q47" s="443"/>
      <c r="R47" s="185"/>
      <c r="S47" s="515"/>
    </row>
    <row r="48" spans="1:19" s="315" customFormat="1" ht="181.5" x14ac:dyDescent="0.25">
      <c r="A48" s="506"/>
      <c r="B48" s="633"/>
      <c r="C48" s="174" t="s">
        <v>127</v>
      </c>
      <c r="D48" s="163" t="s">
        <v>405</v>
      </c>
      <c r="E48" s="162" t="s">
        <v>20</v>
      </c>
      <c r="F48" s="162" t="s">
        <v>404</v>
      </c>
      <c r="G48" s="162" t="s">
        <v>404</v>
      </c>
      <c r="H48" s="173" t="s">
        <v>404</v>
      </c>
      <c r="I48" s="162"/>
      <c r="J48" s="174"/>
      <c r="K48" s="161"/>
      <c r="L48" s="162"/>
      <c r="M48" s="162"/>
      <c r="N48" s="162"/>
      <c r="O48" s="171"/>
      <c r="P48" s="401"/>
      <c r="Q48" s="443"/>
      <c r="R48" s="409"/>
      <c r="S48" s="515"/>
    </row>
    <row r="49" spans="1:19" ht="39.75" x14ac:dyDescent="0.25">
      <c r="A49" s="506"/>
      <c r="B49" s="633"/>
      <c r="C49" s="18"/>
      <c r="D49" s="466" t="s">
        <v>644</v>
      </c>
      <c r="E49" s="18"/>
      <c r="F49" s="18"/>
      <c r="G49" s="18"/>
      <c r="H49" s="18"/>
      <c r="I49" s="18">
        <f>H47</f>
        <v>100</v>
      </c>
      <c r="J49" s="18"/>
      <c r="K49" s="466" t="s">
        <v>644</v>
      </c>
      <c r="L49" s="18"/>
      <c r="M49" s="18"/>
      <c r="N49" s="18"/>
      <c r="O49" s="18"/>
      <c r="P49" s="18">
        <f>O47</f>
        <v>100</v>
      </c>
      <c r="Q49" s="18">
        <f>(I49+P49)/2</f>
        <v>100</v>
      </c>
      <c r="R49" s="18" t="s">
        <v>25</v>
      </c>
      <c r="S49" s="514"/>
    </row>
    <row r="50" spans="1:19" s="315" customFormat="1" ht="132" x14ac:dyDescent="0.25">
      <c r="A50" s="506"/>
      <c r="B50" s="633"/>
      <c r="C50" s="170" t="s">
        <v>129</v>
      </c>
      <c r="D50" s="167" t="s">
        <v>486</v>
      </c>
      <c r="E50" s="450"/>
      <c r="F50" s="169"/>
      <c r="G50" s="443"/>
      <c r="H50" s="443"/>
      <c r="I50" s="443"/>
      <c r="J50" s="170" t="str">
        <f>C50</f>
        <v>V</v>
      </c>
      <c r="K50" s="167" t="str">
        <f>D50</f>
        <v>Реализация дополнительных образовательных программ спортивной подготовки по олимпийским видам спорта 
Спортивная гимнастика (учебно-тренировочный этап (этап спортивной специализации))</v>
      </c>
      <c r="L50" s="162"/>
      <c r="M50" s="182"/>
      <c r="N50" s="182"/>
      <c r="O50" s="443"/>
      <c r="P50" s="401"/>
      <c r="Q50" s="443"/>
      <c r="R50" s="185"/>
      <c r="S50" s="515"/>
    </row>
    <row r="51" spans="1:19" s="315" customFormat="1" ht="99" x14ac:dyDescent="0.25">
      <c r="A51" s="506"/>
      <c r="B51" s="633"/>
      <c r="C51" s="174" t="s">
        <v>131</v>
      </c>
      <c r="D51" s="163" t="s">
        <v>407</v>
      </c>
      <c r="E51" s="162" t="s">
        <v>20</v>
      </c>
      <c r="F51" s="173">
        <v>0</v>
      </c>
      <c r="G51" s="173">
        <v>0</v>
      </c>
      <c r="H51" s="171">
        <v>100</v>
      </c>
      <c r="I51" s="443"/>
      <c r="J51" s="174" t="str">
        <f>C51</f>
        <v>5.1.</v>
      </c>
      <c r="K51" s="161" t="s">
        <v>406</v>
      </c>
      <c r="L51" s="162" t="s">
        <v>20</v>
      </c>
      <c r="M51" s="162">
        <v>61</v>
      </c>
      <c r="N51" s="162">
        <v>57</v>
      </c>
      <c r="O51" s="171">
        <f>IF(N51/M51*100&gt;110,110,N51/M51*100)</f>
        <v>93.442622950819683</v>
      </c>
      <c r="P51" s="401"/>
      <c r="Q51" s="443"/>
      <c r="R51" s="409"/>
      <c r="S51" s="515"/>
    </row>
    <row r="52" spans="1:19" s="315" customFormat="1" ht="181.5" x14ac:dyDescent="0.25">
      <c r="A52" s="506"/>
      <c r="B52" s="633"/>
      <c r="C52" s="174" t="s">
        <v>183</v>
      </c>
      <c r="D52" s="163" t="s">
        <v>405</v>
      </c>
      <c r="E52" s="162" t="s">
        <v>20</v>
      </c>
      <c r="F52" s="162" t="s">
        <v>404</v>
      </c>
      <c r="G52" s="162" t="s">
        <v>404</v>
      </c>
      <c r="H52" s="173" t="s">
        <v>404</v>
      </c>
      <c r="I52" s="162"/>
      <c r="J52" s="174"/>
      <c r="K52" s="161"/>
      <c r="L52" s="162"/>
      <c r="M52" s="162"/>
      <c r="N52" s="162"/>
      <c r="O52" s="171"/>
      <c r="P52" s="401"/>
      <c r="Q52" s="443"/>
      <c r="R52" s="409"/>
      <c r="S52" s="515"/>
    </row>
    <row r="53" spans="1:19" ht="39.75" x14ac:dyDescent="0.25">
      <c r="A53" s="506"/>
      <c r="B53" s="633"/>
      <c r="C53" s="18"/>
      <c r="D53" s="466" t="s">
        <v>644</v>
      </c>
      <c r="E53" s="18"/>
      <c r="F53" s="18"/>
      <c r="G53" s="18"/>
      <c r="H53" s="18"/>
      <c r="I53" s="18">
        <f>H51</f>
        <v>100</v>
      </c>
      <c r="J53" s="18"/>
      <c r="K53" s="466" t="s">
        <v>644</v>
      </c>
      <c r="L53" s="18"/>
      <c r="M53" s="18"/>
      <c r="N53" s="18"/>
      <c r="O53" s="18"/>
      <c r="P53" s="18">
        <f>O51</f>
        <v>93.442622950819683</v>
      </c>
      <c r="Q53" s="18">
        <f>(I53+P53)/2</f>
        <v>96.721311475409834</v>
      </c>
      <c r="R53" s="18" t="s">
        <v>112</v>
      </c>
      <c r="S53" s="514"/>
    </row>
    <row r="54" spans="1:19" ht="127.5" customHeight="1" x14ac:dyDescent="0.25">
      <c r="A54" s="506"/>
      <c r="B54" s="633"/>
      <c r="C54" s="170" t="s">
        <v>140</v>
      </c>
      <c r="D54" s="167" t="s">
        <v>485</v>
      </c>
      <c r="E54" s="450"/>
      <c r="F54" s="169"/>
      <c r="G54" s="443"/>
      <c r="H54" s="443"/>
      <c r="I54" s="443"/>
      <c r="J54" s="168" t="s">
        <v>140</v>
      </c>
      <c r="K54" s="167" t="str">
        <f>D54</f>
        <v>Реализация дополнительных образовательных программ спортивной подготовки по олимпийским видам спорта 
Спортивная гимнастика  (этап совершенствования спортивного мастерства)</v>
      </c>
      <c r="L54" s="450"/>
      <c r="M54" s="450"/>
      <c r="N54" s="450"/>
      <c r="O54" s="443"/>
      <c r="P54" s="443"/>
      <c r="Q54" s="443"/>
      <c r="R54" s="185"/>
      <c r="S54" s="514"/>
    </row>
    <row r="55" spans="1:19" ht="99" x14ac:dyDescent="0.25">
      <c r="A55" s="506"/>
      <c r="B55" s="633"/>
      <c r="C55" s="174" t="s">
        <v>142</v>
      </c>
      <c r="D55" s="163" t="s">
        <v>407</v>
      </c>
      <c r="E55" s="162" t="s">
        <v>20</v>
      </c>
      <c r="F55" s="173">
        <v>0</v>
      </c>
      <c r="G55" s="173">
        <v>0</v>
      </c>
      <c r="H55" s="171">
        <v>100</v>
      </c>
      <c r="I55" s="443"/>
      <c r="J55" s="172" t="s">
        <v>393</v>
      </c>
      <c r="K55" s="161" t="s">
        <v>406</v>
      </c>
      <c r="L55" s="162" t="s">
        <v>20</v>
      </c>
      <c r="M55" s="162">
        <v>8</v>
      </c>
      <c r="N55" s="162">
        <v>8</v>
      </c>
      <c r="O55" s="171">
        <f>IF(N55/M55*100&gt;110,110,N55/M55*100)</f>
        <v>100</v>
      </c>
      <c r="P55" s="443"/>
      <c r="Q55" s="443"/>
      <c r="R55" s="185"/>
      <c r="S55" s="514"/>
    </row>
    <row r="56" spans="1:19" ht="181.5" x14ac:dyDescent="0.25">
      <c r="A56" s="506"/>
      <c r="B56" s="633"/>
      <c r="C56" s="174" t="s">
        <v>188</v>
      </c>
      <c r="D56" s="163" t="s">
        <v>405</v>
      </c>
      <c r="E56" s="162" t="s">
        <v>20</v>
      </c>
      <c r="F56" s="162" t="s">
        <v>404</v>
      </c>
      <c r="G56" s="162" t="s">
        <v>404</v>
      </c>
      <c r="H56" s="173" t="s">
        <v>404</v>
      </c>
      <c r="I56" s="443"/>
      <c r="J56" s="450"/>
      <c r="K56" s="167"/>
      <c r="L56" s="450"/>
      <c r="M56" s="450"/>
      <c r="N56" s="450"/>
      <c r="O56" s="443"/>
      <c r="P56" s="443"/>
      <c r="Q56" s="443"/>
      <c r="R56" s="185"/>
      <c r="S56" s="514"/>
    </row>
    <row r="57" spans="1:19" ht="39.75" x14ac:dyDescent="0.25">
      <c r="A57" s="506"/>
      <c r="B57" s="633"/>
      <c r="C57" s="18"/>
      <c r="D57" s="466" t="s">
        <v>644</v>
      </c>
      <c r="E57" s="18"/>
      <c r="F57" s="18"/>
      <c r="G57" s="18"/>
      <c r="H57" s="18"/>
      <c r="I57" s="18">
        <f>H55</f>
        <v>100</v>
      </c>
      <c r="J57" s="18"/>
      <c r="K57" s="466" t="s">
        <v>644</v>
      </c>
      <c r="L57" s="18"/>
      <c r="M57" s="18"/>
      <c r="N57" s="18"/>
      <c r="O57" s="18"/>
      <c r="P57" s="18">
        <f>O55</f>
        <v>100</v>
      </c>
      <c r="Q57" s="18">
        <f>(I57+P57)/2</f>
        <v>100</v>
      </c>
      <c r="R57" s="18" t="s">
        <v>25</v>
      </c>
      <c r="S57" s="514"/>
    </row>
    <row r="58" spans="1:19" s="315" customFormat="1" ht="115.5" x14ac:dyDescent="0.25">
      <c r="A58" s="506"/>
      <c r="B58" s="633"/>
      <c r="C58" s="170" t="s">
        <v>144</v>
      </c>
      <c r="D58" s="167" t="s">
        <v>484</v>
      </c>
      <c r="E58" s="450"/>
      <c r="F58" s="169"/>
      <c r="G58" s="443"/>
      <c r="H58" s="443"/>
      <c r="I58" s="443"/>
      <c r="J58" s="168" t="s">
        <v>144</v>
      </c>
      <c r="K58" s="167" t="str">
        <f>D58</f>
        <v xml:space="preserve">Реализация дополнительных образовательных программ спортивной подготовки по олимпийским видам спорта 
Художественная гимнастика (этап начальной подготовки)
</v>
      </c>
      <c r="L58" s="162"/>
      <c r="M58" s="182"/>
      <c r="N58" s="182"/>
      <c r="O58" s="443"/>
      <c r="P58" s="401"/>
      <c r="Q58" s="443"/>
      <c r="R58" s="185"/>
      <c r="S58" s="515"/>
    </row>
    <row r="59" spans="1:19" s="315" customFormat="1" ht="99" x14ac:dyDescent="0.25">
      <c r="A59" s="506"/>
      <c r="B59" s="633"/>
      <c r="C59" s="174" t="s">
        <v>146</v>
      </c>
      <c r="D59" s="163" t="s">
        <v>407</v>
      </c>
      <c r="E59" s="162" t="s">
        <v>20</v>
      </c>
      <c r="F59" s="173">
        <v>0</v>
      </c>
      <c r="G59" s="173">
        <v>0</v>
      </c>
      <c r="H59" s="171">
        <v>100</v>
      </c>
      <c r="I59" s="443"/>
      <c r="J59" s="172" t="s">
        <v>483</v>
      </c>
      <c r="K59" s="161" t="s">
        <v>406</v>
      </c>
      <c r="L59" s="162" t="s">
        <v>20</v>
      </c>
      <c r="M59" s="162">
        <v>123</v>
      </c>
      <c r="N59" s="162">
        <v>123</v>
      </c>
      <c r="O59" s="171">
        <f>IF(N59/M59*100&gt;110,110,N59/M59*100)</f>
        <v>100</v>
      </c>
      <c r="P59" s="401"/>
      <c r="Q59" s="443"/>
      <c r="R59" s="409"/>
      <c r="S59" s="515"/>
    </row>
    <row r="60" spans="1:19" s="315" customFormat="1" ht="181.5" x14ac:dyDescent="0.25">
      <c r="A60" s="506"/>
      <c r="B60" s="633"/>
      <c r="C60" s="174" t="s">
        <v>433</v>
      </c>
      <c r="D60" s="163" t="s">
        <v>405</v>
      </c>
      <c r="E60" s="162" t="s">
        <v>20</v>
      </c>
      <c r="F60" s="162" t="s">
        <v>404</v>
      </c>
      <c r="G60" s="162" t="s">
        <v>404</v>
      </c>
      <c r="H60" s="173" t="s">
        <v>404</v>
      </c>
      <c r="I60" s="162"/>
      <c r="J60" s="174"/>
      <c r="K60" s="161"/>
      <c r="L60" s="162"/>
      <c r="M60" s="162"/>
      <c r="N60" s="162"/>
      <c r="O60" s="171"/>
      <c r="P60" s="401"/>
      <c r="Q60" s="443"/>
      <c r="R60" s="409"/>
      <c r="S60" s="515"/>
    </row>
    <row r="61" spans="1:19" ht="43.5" customHeight="1" x14ac:dyDescent="0.25">
      <c r="A61" s="506"/>
      <c r="B61" s="633"/>
      <c r="C61" s="18"/>
      <c r="D61" s="466" t="s">
        <v>644</v>
      </c>
      <c r="E61" s="18"/>
      <c r="F61" s="18"/>
      <c r="G61" s="18"/>
      <c r="H61" s="18"/>
      <c r="I61" s="18">
        <f>H59</f>
        <v>100</v>
      </c>
      <c r="J61" s="18"/>
      <c r="K61" s="466" t="s">
        <v>644</v>
      </c>
      <c r="L61" s="18"/>
      <c r="M61" s="18"/>
      <c r="N61" s="18"/>
      <c r="O61" s="18"/>
      <c r="P61" s="18">
        <f>O59</f>
        <v>100</v>
      </c>
      <c r="Q61" s="18">
        <f>(I61+P61)/2</f>
        <v>100</v>
      </c>
      <c r="R61" s="18" t="s">
        <v>25</v>
      </c>
      <c r="S61" s="514"/>
    </row>
    <row r="62" spans="1:19" s="315" customFormat="1" ht="132" x14ac:dyDescent="0.25">
      <c r="A62" s="506"/>
      <c r="B62" s="633"/>
      <c r="C62" s="170" t="s">
        <v>147</v>
      </c>
      <c r="D62" s="167" t="s">
        <v>482</v>
      </c>
      <c r="E62" s="450"/>
      <c r="F62" s="169"/>
      <c r="G62" s="443"/>
      <c r="H62" s="443"/>
      <c r="I62" s="443"/>
      <c r="J62" s="168" t="s">
        <v>147</v>
      </c>
      <c r="K62" s="167" t="str">
        <f>D62</f>
        <v>Реализация дополнительных образовательных программ спортивной подготовки по олимпийским видам спорта 
Художественная гимнастика (учебно-тренировочный этап (этап спортивной специализации))</v>
      </c>
      <c r="L62" s="162"/>
      <c r="M62" s="182"/>
      <c r="N62" s="182"/>
      <c r="O62" s="443"/>
      <c r="P62" s="401"/>
      <c r="Q62" s="443"/>
      <c r="R62" s="185"/>
      <c r="S62" s="515"/>
    </row>
    <row r="63" spans="1:19" s="315" customFormat="1" ht="99" x14ac:dyDescent="0.25">
      <c r="A63" s="506"/>
      <c r="B63" s="633"/>
      <c r="C63" s="174" t="s">
        <v>149</v>
      </c>
      <c r="D63" s="163" t="s">
        <v>407</v>
      </c>
      <c r="E63" s="162" t="s">
        <v>20</v>
      </c>
      <c r="F63" s="173">
        <v>0</v>
      </c>
      <c r="G63" s="173">
        <v>0</v>
      </c>
      <c r="H63" s="171">
        <v>100</v>
      </c>
      <c r="I63" s="443"/>
      <c r="J63" s="172" t="s">
        <v>481</v>
      </c>
      <c r="K63" s="161" t="s">
        <v>406</v>
      </c>
      <c r="L63" s="162" t="s">
        <v>20</v>
      </c>
      <c r="M63" s="162">
        <v>52</v>
      </c>
      <c r="N63" s="162">
        <v>51</v>
      </c>
      <c r="O63" s="171">
        <f>IF(N63/M63*100&gt;110,110,N63/M63*100)</f>
        <v>98.076923076923066</v>
      </c>
      <c r="P63" s="401"/>
      <c r="Q63" s="443"/>
      <c r="R63" s="409"/>
      <c r="S63" s="515"/>
    </row>
    <row r="64" spans="1:19" s="315" customFormat="1" ht="181.5" x14ac:dyDescent="0.25">
      <c r="A64" s="506"/>
      <c r="B64" s="633"/>
      <c r="C64" s="174" t="s">
        <v>429</v>
      </c>
      <c r="D64" s="163" t="s">
        <v>405</v>
      </c>
      <c r="E64" s="162" t="s">
        <v>20</v>
      </c>
      <c r="F64" s="162" t="s">
        <v>404</v>
      </c>
      <c r="G64" s="162" t="s">
        <v>404</v>
      </c>
      <c r="H64" s="173" t="s">
        <v>404</v>
      </c>
      <c r="I64" s="162"/>
      <c r="J64" s="174"/>
      <c r="K64" s="161"/>
      <c r="L64" s="162"/>
      <c r="M64" s="162"/>
      <c r="N64" s="162"/>
      <c r="O64" s="171"/>
      <c r="P64" s="401"/>
      <c r="Q64" s="443"/>
      <c r="R64" s="409"/>
      <c r="S64" s="515"/>
    </row>
    <row r="65" spans="1:19" ht="37.5" customHeight="1" x14ac:dyDescent="0.25">
      <c r="A65" s="506"/>
      <c r="B65" s="633"/>
      <c r="C65" s="18"/>
      <c r="D65" s="466" t="s">
        <v>644</v>
      </c>
      <c r="E65" s="18"/>
      <c r="F65" s="18"/>
      <c r="G65" s="18"/>
      <c r="H65" s="18"/>
      <c r="I65" s="18">
        <f>H63</f>
        <v>100</v>
      </c>
      <c r="J65" s="18"/>
      <c r="K65" s="466" t="s">
        <v>644</v>
      </c>
      <c r="L65" s="18"/>
      <c r="M65" s="18"/>
      <c r="N65" s="18"/>
      <c r="O65" s="18"/>
      <c r="P65" s="18">
        <f>O63</f>
        <v>98.076923076923066</v>
      </c>
      <c r="Q65" s="18">
        <f>(I65+P65)/2</f>
        <v>99.038461538461533</v>
      </c>
      <c r="R65" s="18" t="s">
        <v>112</v>
      </c>
      <c r="S65" s="514"/>
    </row>
    <row r="66" spans="1:19" s="315" customFormat="1" ht="118.5" customHeight="1" x14ac:dyDescent="0.25">
      <c r="A66" s="506"/>
      <c r="B66" s="633"/>
      <c r="C66" s="170" t="s">
        <v>150</v>
      </c>
      <c r="D66" s="167" t="s">
        <v>480</v>
      </c>
      <c r="E66" s="450"/>
      <c r="F66" s="169"/>
      <c r="G66" s="443"/>
      <c r="H66" s="443"/>
      <c r="I66" s="443"/>
      <c r="J66" s="170" t="s">
        <v>150</v>
      </c>
      <c r="K66" s="167" t="str">
        <f>D66</f>
        <v>Реализация дополнительных образовательных программ спортивной подготовки по неолимпийским видам спорта 
Спортивная акробатика (этап начальной подготовки)</v>
      </c>
      <c r="L66" s="162"/>
      <c r="M66" s="182"/>
      <c r="N66" s="182"/>
      <c r="O66" s="443"/>
      <c r="P66" s="401"/>
      <c r="Q66" s="443"/>
      <c r="R66" s="185"/>
      <c r="S66" s="515"/>
    </row>
    <row r="67" spans="1:19" s="315" customFormat="1" ht="99" x14ac:dyDescent="0.25">
      <c r="A67" s="506"/>
      <c r="B67" s="633"/>
      <c r="C67" s="174" t="s">
        <v>152</v>
      </c>
      <c r="D67" s="163" t="s">
        <v>407</v>
      </c>
      <c r="E67" s="162" t="s">
        <v>20</v>
      </c>
      <c r="F67" s="173">
        <v>0</v>
      </c>
      <c r="G67" s="173">
        <v>0</v>
      </c>
      <c r="H67" s="171">
        <v>100</v>
      </c>
      <c r="I67" s="443"/>
      <c r="J67" s="174" t="s">
        <v>152</v>
      </c>
      <c r="K67" s="161" t="s">
        <v>406</v>
      </c>
      <c r="L67" s="162" t="s">
        <v>20</v>
      </c>
      <c r="M67" s="162">
        <v>70</v>
      </c>
      <c r="N67" s="162">
        <v>70</v>
      </c>
      <c r="O67" s="171">
        <f>IF(N67/M67*100&gt;110,110,N67/M67*100)</f>
        <v>100</v>
      </c>
      <c r="P67" s="401"/>
      <c r="Q67" s="443"/>
      <c r="R67" s="409"/>
      <c r="S67" s="515"/>
    </row>
    <row r="68" spans="1:19" s="315" customFormat="1" ht="181.5" x14ac:dyDescent="0.25">
      <c r="A68" s="506"/>
      <c r="B68" s="633"/>
      <c r="C68" s="174" t="s">
        <v>431</v>
      </c>
      <c r="D68" s="163" t="s">
        <v>405</v>
      </c>
      <c r="E68" s="162" t="s">
        <v>20</v>
      </c>
      <c r="F68" s="162" t="s">
        <v>404</v>
      </c>
      <c r="G68" s="162" t="s">
        <v>404</v>
      </c>
      <c r="H68" s="173" t="s">
        <v>404</v>
      </c>
      <c r="I68" s="162"/>
      <c r="J68" s="172"/>
      <c r="K68" s="161"/>
      <c r="L68" s="162"/>
      <c r="M68" s="162"/>
      <c r="N68" s="162"/>
      <c r="O68" s="171"/>
      <c r="P68" s="401"/>
      <c r="Q68" s="443"/>
      <c r="R68" s="409"/>
      <c r="S68" s="515"/>
    </row>
    <row r="69" spans="1:19" ht="40.5" customHeight="1" x14ac:dyDescent="0.25">
      <c r="A69" s="506"/>
      <c r="B69" s="633"/>
      <c r="C69" s="18"/>
      <c r="D69" s="466" t="s">
        <v>644</v>
      </c>
      <c r="E69" s="18"/>
      <c r="F69" s="18"/>
      <c r="G69" s="18"/>
      <c r="H69" s="18"/>
      <c r="I69" s="18">
        <f>H67</f>
        <v>100</v>
      </c>
      <c r="J69" s="18"/>
      <c r="K69" s="466" t="s">
        <v>644</v>
      </c>
      <c r="L69" s="18"/>
      <c r="M69" s="18"/>
      <c r="N69" s="18"/>
      <c r="O69" s="18"/>
      <c r="P69" s="18">
        <f>O67</f>
        <v>100</v>
      </c>
      <c r="Q69" s="18">
        <f>(I69+P69)/2</f>
        <v>100</v>
      </c>
      <c r="R69" s="18" t="s">
        <v>25</v>
      </c>
      <c r="S69" s="514"/>
    </row>
    <row r="70" spans="1:19" s="315" customFormat="1" ht="138" customHeight="1" x14ac:dyDescent="0.25">
      <c r="A70" s="506"/>
      <c r="B70" s="633"/>
      <c r="C70" s="170" t="s">
        <v>277</v>
      </c>
      <c r="D70" s="188" t="s">
        <v>479</v>
      </c>
      <c r="E70" s="450"/>
      <c r="F70" s="169"/>
      <c r="G70" s="443"/>
      <c r="H70" s="443"/>
      <c r="I70" s="443"/>
      <c r="J70" s="170" t="s">
        <v>277</v>
      </c>
      <c r="K70" s="167" t="str">
        <f>D70</f>
        <v>Реализация дополнительных образовательных программ спортивной подготовки по неолимпийским видам спорта 
Спортивная акробатика (учебно-тренировочный этап (этап спортивной специализации))</v>
      </c>
      <c r="L70" s="162"/>
      <c r="M70" s="182"/>
      <c r="N70" s="182"/>
      <c r="O70" s="443"/>
      <c r="P70" s="401"/>
      <c r="Q70" s="443"/>
      <c r="R70" s="185"/>
      <c r="S70" s="515"/>
    </row>
    <row r="71" spans="1:19" s="315" customFormat="1" ht="99" x14ac:dyDescent="0.25">
      <c r="A71" s="506"/>
      <c r="B71" s="633"/>
      <c r="C71" s="187" t="s">
        <v>278</v>
      </c>
      <c r="D71" s="163" t="s">
        <v>407</v>
      </c>
      <c r="E71" s="162" t="s">
        <v>20</v>
      </c>
      <c r="F71" s="173">
        <v>0</v>
      </c>
      <c r="G71" s="173">
        <v>0</v>
      </c>
      <c r="H71" s="171">
        <v>100</v>
      </c>
      <c r="I71" s="443"/>
      <c r="J71" s="187" t="s">
        <v>278</v>
      </c>
      <c r="K71" s="161" t="s">
        <v>406</v>
      </c>
      <c r="L71" s="162" t="s">
        <v>20</v>
      </c>
      <c r="M71" s="162">
        <v>62</v>
      </c>
      <c r="N71" s="162">
        <v>62</v>
      </c>
      <c r="O71" s="171">
        <f>IF(N71/M71*100&gt;110,110,N71/M71*100)</f>
        <v>100</v>
      </c>
      <c r="P71" s="401"/>
      <c r="Q71" s="443"/>
      <c r="R71" s="409"/>
      <c r="S71" s="515"/>
    </row>
    <row r="72" spans="1:19" s="315" customFormat="1" ht="181.5" x14ac:dyDescent="0.25">
      <c r="A72" s="506"/>
      <c r="B72" s="633"/>
      <c r="C72" s="187" t="s">
        <v>444</v>
      </c>
      <c r="D72" s="163" t="s">
        <v>405</v>
      </c>
      <c r="E72" s="162" t="s">
        <v>20</v>
      </c>
      <c r="F72" s="162" t="s">
        <v>404</v>
      </c>
      <c r="G72" s="162" t="s">
        <v>404</v>
      </c>
      <c r="H72" s="173" t="s">
        <v>404</v>
      </c>
      <c r="I72" s="162"/>
      <c r="J72" s="172"/>
      <c r="K72" s="161"/>
      <c r="L72" s="162"/>
      <c r="M72" s="162"/>
      <c r="N72" s="162"/>
      <c r="O72" s="171"/>
      <c r="P72" s="401"/>
      <c r="Q72" s="443"/>
      <c r="R72" s="409"/>
      <c r="S72" s="515"/>
    </row>
    <row r="73" spans="1:19" ht="38.25" customHeight="1" x14ac:dyDescent="0.25">
      <c r="A73" s="506"/>
      <c r="B73" s="633"/>
      <c r="C73" s="18"/>
      <c r="D73" s="466" t="s">
        <v>644</v>
      </c>
      <c r="E73" s="18"/>
      <c r="F73" s="18"/>
      <c r="G73" s="18"/>
      <c r="H73" s="18"/>
      <c r="I73" s="18">
        <f>H71</f>
        <v>100</v>
      </c>
      <c r="J73" s="18"/>
      <c r="K73" s="466" t="s">
        <v>644</v>
      </c>
      <c r="L73" s="18"/>
      <c r="M73" s="18"/>
      <c r="N73" s="18"/>
      <c r="O73" s="18"/>
      <c r="P73" s="18">
        <f>O71</f>
        <v>100</v>
      </c>
      <c r="Q73" s="18">
        <f>(I73+P73)/2</f>
        <v>100</v>
      </c>
      <c r="R73" s="18" t="s">
        <v>25</v>
      </c>
      <c r="S73" s="514"/>
    </row>
    <row r="74" spans="1:19" ht="115.5" x14ac:dyDescent="0.25">
      <c r="A74" s="506"/>
      <c r="B74" s="633"/>
      <c r="C74" s="170" t="s">
        <v>279</v>
      </c>
      <c r="D74" s="167" t="s">
        <v>478</v>
      </c>
      <c r="E74" s="450"/>
      <c r="F74" s="169"/>
      <c r="G74" s="443"/>
      <c r="H74" s="443"/>
      <c r="I74" s="443"/>
      <c r="J74" s="170" t="s">
        <v>279</v>
      </c>
      <c r="K74" s="167" t="str">
        <f>D74</f>
        <v>Реализация дополнительных образовательных программ спортивной подготовки по неолимпийским видам спорта 
Спортивная акробатика (этап совершенствования спортивного мастерства)</v>
      </c>
      <c r="L74" s="162"/>
      <c r="M74" s="182"/>
      <c r="N74" s="182"/>
      <c r="O74" s="443"/>
      <c r="P74" s="401"/>
      <c r="Q74" s="443"/>
      <c r="R74" s="185"/>
      <c r="S74" s="515"/>
    </row>
    <row r="75" spans="1:19" ht="99" x14ac:dyDescent="0.25">
      <c r="A75" s="506"/>
      <c r="B75" s="633"/>
      <c r="C75" s="187" t="s">
        <v>280</v>
      </c>
      <c r="D75" s="163" t="s">
        <v>407</v>
      </c>
      <c r="E75" s="162" t="s">
        <v>20</v>
      </c>
      <c r="F75" s="173">
        <v>0</v>
      </c>
      <c r="G75" s="173">
        <v>0</v>
      </c>
      <c r="H75" s="171">
        <v>100</v>
      </c>
      <c r="I75" s="443"/>
      <c r="J75" s="187" t="s">
        <v>280</v>
      </c>
      <c r="K75" s="161" t="s">
        <v>406</v>
      </c>
      <c r="L75" s="162" t="s">
        <v>20</v>
      </c>
      <c r="M75" s="162">
        <v>26</v>
      </c>
      <c r="N75" s="162">
        <v>26</v>
      </c>
      <c r="O75" s="171">
        <f>IF(N75/M75*100&gt;110,110,N75/M75*100)</f>
        <v>100</v>
      </c>
      <c r="P75" s="401"/>
      <c r="Q75" s="443"/>
      <c r="R75" s="409"/>
      <c r="S75" s="515"/>
    </row>
    <row r="76" spans="1:19" ht="181.5" x14ac:dyDescent="0.25">
      <c r="A76" s="506"/>
      <c r="B76" s="633"/>
      <c r="C76" s="187" t="s">
        <v>477</v>
      </c>
      <c r="D76" s="163" t="s">
        <v>405</v>
      </c>
      <c r="E76" s="162" t="s">
        <v>20</v>
      </c>
      <c r="F76" s="162" t="s">
        <v>404</v>
      </c>
      <c r="G76" s="162" t="s">
        <v>404</v>
      </c>
      <c r="H76" s="173" t="s">
        <v>404</v>
      </c>
      <c r="I76" s="162"/>
      <c r="J76" s="172"/>
      <c r="K76" s="161"/>
      <c r="L76" s="162"/>
      <c r="M76" s="162"/>
      <c r="N76" s="162"/>
      <c r="O76" s="171"/>
      <c r="P76" s="401"/>
      <c r="Q76" s="443"/>
      <c r="R76" s="409"/>
      <c r="S76" s="515"/>
    </row>
    <row r="77" spans="1:19" ht="45.75" customHeight="1" x14ac:dyDescent="0.25">
      <c r="A77" s="506"/>
      <c r="B77" s="633"/>
      <c r="C77" s="18"/>
      <c r="D77" s="466" t="s">
        <v>644</v>
      </c>
      <c r="E77" s="18"/>
      <c r="F77" s="18"/>
      <c r="G77" s="18"/>
      <c r="H77" s="18"/>
      <c r="I77" s="18">
        <f>H75</f>
        <v>100</v>
      </c>
      <c r="J77" s="18"/>
      <c r="K77" s="466" t="s">
        <v>644</v>
      </c>
      <c r="L77" s="18"/>
      <c r="M77" s="18"/>
      <c r="N77" s="18"/>
      <c r="O77" s="18"/>
      <c r="P77" s="18">
        <f>O75</f>
        <v>100</v>
      </c>
      <c r="Q77" s="18">
        <f>(I77+P77)/2</f>
        <v>100</v>
      </c>
      <c r="R77" s="18" t="s">
        <v>25</v>
      </c>
      <c r="S77" s="514"/>
    </row>
    <row r="78" spans="1:19" s="315" customFormat="1" ht="69.75" customHeight="1" x14ac:dyDescent="0.25">
      <c r="A78" s="506"/>
      <c r="B78" s="633"/>
      <c r="C78" s="170" t="s">
        <v>442</v>
      </c>
      <c r="D78" s="167" t="s">
        <v>415</v>
      </c>
      <c r="E78" s="162"/>
      <c r="F78" s="173"/>
      <c r="G78" s="171"/>
      <c r="H78" s="443"/>
      <c r="I78" s="443"/>
      <c r="J78" s="170" t="s">
        <v>442</v>
      </c>
      <c r="K78" s="167" t="str">
        <f>D78</f>
        <v xml:space="preserve">Реализация дополнительных общеразвивающих программ </v>
      </c>
      <c r="L78" s="162"/>
      <c r="M78" s="162"/>
      <c r="N78" s="162"/>
      <c r="O78" s="171"/>
      <c r="P78" s="401"/>
      <c r="Q78" s="443"/>
      <c r="R78" s="185"/>
      <c r="S78" s="515"/>
    </row>
    <row r="79" spans="1:19" ht="32.25" customHeight="1" x14ac:dyDescent="0.25">
      <c r="A79" s="506"/>
      <c r="B79" s="633"/>
      <c r="C79" s="187" t="s">
        <v>441</v>
      </c>
      <c r="D79" s="161" t="s">
        <v>404</v>
      </c>
      <c r="E79" s="161" t="s">
        <v>404</v>
      </c>
      <c r="F79" s="161" t="s">
        <v>404</v>
      </c>
      <c r="G79" s="161" t="s">
        <v>404</v>
      </c>
      <c r="H79" s="173" t="s">
        <v>404</v>
      </c>
      <c r="I79" s="161"/>
      <c r="J79" s="187" t="s">
        <v>441</v>
      </c>
      <c r="K79" s="161" t="s">
        <v>132</v>
      </c>
      <c r="L79" s="162" t="s">
        <v>414</v>
      </c>
      <c r="M79" s="162">
        <v>8526</v>
      </c>
      <c r="N79" s="186">
        <v>7808</v>
      </c>
      <c r="O79" s="171">
        <f>IF(N79/M79*100&gt;110,110,N79/M79*100)</f>
        <v>91.578700445695517</v>
      </c>
      <c r="P79" s="401"/>
      <c r="Q79" s="443"/>
      <c r="R79" s="409"/>
      <c r="S79" s="515"/>
    </row>
    <row r="80" spans="1:19" ht="42" customHeight="1" x14ac:dyDescent="0.25">
      <c r="A80" s="506"/>
      <c r="B80" s="633"/>
      <c r="C80" s="18"/>
      <c r="D80" s="466" t="s">
        <v>644</v>
      </c>
      <c r="E80" s="18"/>
      <c r="F80" s="18"/>
      <c r="G80" s="18"/>
      <c r="H80" s="18"/>
      <c r="I80" s="18"/>
      <c r="J80" s="18"/>
      <c r="K80" s="466" t="s">
        <v>644</v>
      </c>
      <c r="L80" s="18"/>
      <c r="M80" s="18"/>
      <c r="N80" s="18"/>
      <c r="O80" s="18"/>
      <c r="P80" s="18">
        <f>O79</f>
        <v>91.578700445695517</v>
      </c>
      <c r="Q80" s="18">
        <f>P80</f>
        <v>91.578700445695517</v>
      </c>
      <c r="R80" s="18" t="s">
        <v>112</v>
      </c>
      <c r="S80" s="514"/>
    </row>
    <row r="81" spans="1:19" ht="48.75" customHeight="1" x14ac:dyDescent="0.25">
      <c r="A81" s="506"/>
      <c r="B81" s="633"/>
      <c r="C81" s="170" t="s">
        <v>469</v>
      </c>
      <c r="D81" s="167" t="s">
        <v>369</v>
      </c>
      <c r="E81" s="162"/>
      <c r="F81" s="173"/>
      <c r="G81" s="171"/>
      <c r="H81" s="443"/>
      <c r="I81" s="443"/>
      <c r="J81" s="170" t="s">
        <v>469</v>
      </c>
      <c r="K81" s="167" t="str">
        <f>D81</f>
        <v>Организация мероприятий по подготовке спортивных сборных команд</v>
      </c>
      <c r="L81" s="162"/>
      <c r="M81" s="162"/>
      <c r="N81" s="162"/>
      <c r="O81" s="171"/>
      <c r="P81" s="401"/>
      <c r="Q81" s="443"/>
      <c r="R81" s="185"/>
      <c r="S81" s="515"/>
    </row>
    <row r="82" spans="1:19" ht="66" x14ac:dyDescent="0.25">
      <c r="A82" s="506"/>
      <c r="B82" s="633"/>
      <c r="C82" s="174" t="s">
        <v>443</v>
      </c>
      <c r="D82" s="161" t="s">
        <v>403</v>
      </c>
      <c r="E82" s="162" t="s">
        <v>18</v>
      </c>
      <c r="F82" s="173">
        <v>5</v>
      </c>
      <c r="G82" s="184">
        <v>31.8</v>
      </c>
      <c r="H82" s="171">
        <f>IF(G82/F82*100&gt;100,100,G82/F82*100)</f>
        <v>100</v>
      </c>
      <c r="I82" s="443"/>
      <c r="J82" s="174" t="s">
        <v>443</v>
      </c>
      <c r="K82" s="161" t="s">
        <v>367</v>
      </c>
      <c r="L82" s="162" t="s">
        <v>20</v>
      </c>
      <c r="M82" s="183">
        <v>110</v>
      </c>
      <c r="N82" s="183">
        <v>177</v>
      </c>
      <c r="O82" s="171">
        <f>IF(N82/M82*100&gt;110,110,N82/M82*100)</f>
        <v>110</v>
      </c>
      <c r="P82" s="401"/>
      <c r="Q82" s="443"/>
      <c r="R82" s="409"/>
      <c r="S82" s="515"/>
    </row>
    <row r="83" spans="1:19" ht="51.75" customHeight="1" x14ac:dyDescent="0.25">
      <c r="A83" s="506"/>
      <c r="B83" s="633"/>
      <c r="C83" s="18"/>
      <c r="D83" s="466" t="s">
        <v>644</v>
      </c>
      <c r="E83" s="18"/>
      <c r="F83" s="18"/>
      <c r="G83" s="18"/>
      <c r="H83" s="18"/>
      <c r="I83" s="18">
        <f>H82</f>
        <v>100</v>
      </c>
      <c r="J83" s="18"/>
      <c r="K83" s="466" t="s">
        <v>644</v>
      </c>
      <c r="L83" s="18"/>
      <c r="M83" s="18"/>
      <c r="N83" s="18"/>
      <c r="O83" s="18"/>
      <c r="P83" s="18">
        <f>O82</f>
        <v>110</v>
      </c>
      <c r="Q83" s="18">
        <f>(I83+P83)/2</f>
        <v>105</v>
      </c>
      <c r="R83" s="18" t="s">
        <v>25</v>
      </c>
      <c r="S83" s="514"/>
    </row>
    <row r="84" spans="1:19" ht="49.5" x14ac:dyDescent="0.25">
      <c r="A84" s="506"/>
      <c r="B84" s="633"/>
      <c r="C84" s="170" t="s">
        <v>440</v>
      </c>
      <c r="D84" s="167" t="s">
        <v>379</v>
      </c>
      <c r="E84" s="450"/>
      <c r="F84" s="169"/>
      <c r="G84" s="180"/>
      <c r="H84" s="443"/>
      <c r="I84" s="443"/>
      <c r="J84" s="170" t="s">
        <v>440</v>
      </c>
      <c r="K84" s="167" t="str">
        <f>D84</f>
        <v>Организация физкультурно-спортивной работы по месту жительства граждан</v>
      </c>
      <c r="L84" s="450"/>
      <c r="M84" s="450"/>
      <c r="N84" s="450"/>
      <c r="O84" s="443"/>
      <c r="P84" s="443"/>
      <c r="Q84" s="443"/>
      <c r="R84" s="408"/>
      <c r="S84" s="515"/>
    </row>
    <row r="85" spans="1:19" ht="18.75" customHeight="1" x14ac:dyDescent="0.25">
      <c r="A85" s="506"/>
      <c r="B85" s="633"/>
      <c r="C85" s="174" t="s">
        <v>439</v>
      </c>
      <c r="D85" s="161" t="s">
        <v>336</v>
      </c>
      <c r="E85" s="162" t="s">
        <v>216</v>
      </c>
      <c r="F85" s="173">
        <v>3</v>
      </c>
      <c r="G85" s="173">
        <v>0</v>
      </c>
      <c r="H85" s="171">
        <v>100</v>
      </c>
      <c r="I85" s="443"/>
      <c r="J85" s="172" t="s">
        <v>439</v>
      </c>
      <c r="K85" s="161" t="s">
        <v>378</v>
      </c>
      <c r="L85" s="162" t="s">
        <v>41</v>
      </c>
      <c r="M85" s="162">
        <v>36</v>
      </c>
      <c r="N85" s="162">
        <v>36</v>
      </c>
      <c r="O85" s="171">
        <f>IF(N85/M85*100&gt;110,110,N85/M85*100)</f>
        <v>100</v>
      </c>
      <c r="P85" s="450"/>
      <c r="Q85" s="443"/>
      <c r="R85" s="409"/>
      <c r="S85" s="515"/>
    </row>
    <row r="86" spans="1:19" ht="44.25" customHeight="1" x14ac:dyDescent="0.25">
      <c r="A86" s="507"/>
      <c r="B86" s="634"/>
      <c r="C86" s="18"/>
      <c r="D86" s="466" t="s">
        <v>644</v>
      </c>
      <c r="E86" s="18"/>
      <c r="F86" s="18"/>
      <c r="G86" s="18"/>
      <c r="H86" s="18"/>
      <c r="I86" s="18">
        <f>H85</f>
        <v>100</v>
      </c>
      <c r="J86" s="18"/>
      <c r="K86" s="466" t="s">
        <v>644</v>
      </c>
      <c r="L86" s="18"/>
      <c r="M86" s="18"/>
      <c r="N86" s="18"/>
      <c r="O86" s="18"/>
      <c r="P86" s="18">
        <f>O85</f>
        <v>100</v>
      </c>
      <c r="Q86" s="18">
        <f>(I86+P86)/2</f>
        <v>100</v>
      </c>
      <c r="R86" s="18" t="s">
        <v>25</v>
      </c>
      <c r="S86" s="514"/>
    </row>
    <row r="87" spans="1:19" ht="121.5" customHeight="1" x14ac:dyDescent="0.25">
      <c r="A87" s="505" t="s">
        <v>476</v>
      </c>
      <c r="B87" s="632" t="s">
        <v>641</v>
      </c>
      <c r="C87" s="170" t="s">
        <v>13</v>
      </c>
      <c r="D87" s="167" t="s">
        <v>425</v>
      </c>
      <c r="E87" s="162"/>
      <c r="F87" s="173"/>
      <c r="G87" s="171"/>
      <c r="H87" s="443"/>
      <c r="I87" s="443"/>
      <c r="J87" s="168" t="s">
        <v>13</v>
      </c>
      <c r="K87" s="167" t="str">
        <f>D87</f>
        <v>Реализация дополнительных образовательных программ спортивной подготовки по олимпийским видам спорта 
Лыжные гонки (этап начальной подготовки)</v>
      </c>
      <c r="L87" s="162"/>
      <c r="M87" s="182"/>
      <c r="N87" s="182"/>
      <c r="O87" s="443"/>
      <c r="P87" s="31"/>
      <c r="Q87" s="443"/>
      <c r="R87" s="408"/>
      <c r="S87" s="623" t="s">
        <v>104</v>
      </c>
    </row>
    <row r="88" spans="1:19" ht="99" x14ac:dyDescent="0.25">
      <c r="A88" s="506"/>
      <c r="B88" s="633"/>
      <c r="C88" s="174" t="s">
        <v>16</v>
      </c>
      <c r="D88" s="163" t="s">
        <v>407</v>
      </c>
      <c r="E88" s="162" t="s">
        <v>20</v>
      </c>
      <c r="F88" s="173">
        <v>0</v>
      </c>
      <c r="G88" s="173">
        <v>0</v>
      </c>
      <c r="H88" s="171">
        <v>100</v>
      </c>
      <c r="I88" s="443"/>
      <c r="J88" s="172" t="s">
        <v>424</v>
      </c>
      <c r="K88" s="161" t="s">
        <v>406</v>
      </c>
      <c r="L88" s="162" t="s">
        <v>20</v>
      </c>
      <c r="M88" s="162">
        <v>51</v>
      </c>
      <c r="N88" s="162">
        <v>47</v>
      </c>
      <c r="O88" s="171">
        <f>IF(N88/M88*100&gt;110,110,N88/M88*100)</f>
        <v>92.156862745098039</v>
      </c>
      <c r="P88" s="401"/>
      <c r="Q88" s="443"/>
      <c r="R88" s="409"/>
      <c r="S88" s="626"/>
    </row>
    <row r="89" spans="1:19" ht="181.5" x14ac:dyDescent="0.25">
      <c r="A89" s="506"/>
      <c r="B89" s="633"/>
      <c r="C89" s="174" t="s">
        <v>21</v>
      </c>
      <c r="D89" s="163" t="s">
        <v>405</v>
      </c>
      <c r="E89" s="162" t="s">
        <v>20</v>
      </c>
      <c r="F89" s="162" t="s">
        <v>404</v>
      </c>
      <c r="G89" s="162" t="s">
        <v>404</v>
      </c>
      <c r="H89" s="173" t="s">
        <v>404</v>
      </c>
      <c r="I89" s="162"/>
      <c r="J89" s="172"/>
      <c r="K89" s="161"/>
      <c r="L89" s="162"/>
      <c r="M89" s="162"/>
      <c r="N89" s="162"/>
      <c r="O89" s="171"/>
      <c r="P89" s="401"/>
      <c r="Q89" s="443"/>
      <c r="R89" s="409"/>
      <c r="S89" s="626"/>
    </row>
    <row r="90" spans="1:19" ht="39.75" x14ac:dyDescent="0.25">
      <c r="A90" s="506"/>
      <c r="B90" s="633"/>
      <c r="C90" s="18"/>
      <c r="D90" s="466" t="s">
        <v>644</v>
      </c>
      <c r="E90" s="18"/>
      <c r="F90" s="18"/>
      <c r="G90" s="18"/>
      <c r="H90" s="18"/>
      <c r="I90" s="18">
        <f>H88</f>
        <v>100</v>
      </c>
      <c r="J90" s="18"/>
      <c r="K90" s="466" t="s">
        <v>644</v>
      </c>
      <c r="L90" s="18"/>
      <c r="M90" s="18"/>
      <c r="N90" s="18"/>
      <c r="O90" s="18"/>
      <c r="P90" s="18">
        <f>O88</f>
        <v>92.156862745098039</v>
      </c>
      <c r="Q90" s="18">
        <f>(I90+P90)/2</f>
        <v>96.078431372549019</v>
      </c>
      <c r="R90" s="18" t="s">
        <v>112</v>
      </c>
      <c r="S90" s="628"/>
    </row>
    <row r="91" spans="1:19" ht="115.5" x14ac:dyDescent="0.25">
      <c r="A91" s="506"/>
      <c r="B91" s="633"/>
      <c r="C91" s="170" t="s">
        <v>26</v>
      </c>
      <c r="D91" s="167" t="s">
        <v>423</v>
      </c>
      <c r="E91" s="162"/>
      <c r="F91" s="173"/>
      <c r="G91" s="171"/>
      <c r="H91" s="443"/>
      <c r="I91" s="443"/>
      <c r="J91" s="168" t="str">
        <f>C91</f>
        <v>II</v>
      </c>
      <c r="K91" s="167" t="str">
        <f>D91</f>
        <v>Реализация дополнительных образовательных программ спортивной подготовки по олимпийским видам спорта 
Лыжные гонки (учебно-тренировочный этап (этап спортивной специализации))</v>
      </c>
      <c r="L91" s="162"/>
      <c r="M91" s="182"/>
      <c r="N91" s="182"/>
      <c r="O91" s="443"/>
      <c r="P91" s="31"/>
      <c r="Q91" s="443"/>
      <c r="R91" s="408"/>
      <c r="S91" s="626"/>
    </row>
    <row r="92" spans="1:19" ht="99" x14ac:dyDescent="0.25">
      <c r="A92" s="506"/>
      <c r="B92" s="633"/>
      <c r="C92" s="174" t="s">
        <v>28</v>
      </c>
      <c r="D92" s="163" t="s">
        <v>407</v>
      </c>
      <c r="E92" s="162" t="s">
        <v>20</v>
      </c>
      <c r="F92" s="173">
        <v>0</v>
      </c>
      <c r="G92" s="173">
        <v>0</v>
      </c>
      <c r="H92" s="171">
        <v>100</v>
      </c>
      <c r="I92" s="443"/>
      <c r="J92" s="172" t="str">
        <f>C92</f>
        <v>2.1.</v>
      </c>
      <c r="K92" s="161" t="s">
        <v>406</v>
      </c>
      <c r="L92" s="162" t="s">
        <v>20</v>
      </c>
      <c r="M92" s="162">
        <v>61</v>
      </c>
      <c r="N92" s="162">
        <v>61</v>
      </c>
      <c r="O92" s="171">
        <f>IF(N92/M92*100&gt;110,110,N92/M92*100)</f>
        <v>100</v>
      </c>
      <c r="P92" s="401"/>
      <c r="Q92" s="443"/>
      <c r="R92" s="409"/>
      <c r="S92" s="626"/>
    </row>
    <row r="93" spans="1:19" ht="181.5" x14ac:dyDescent="0.25">
      <c r="A93" s="506"/>
      <c r="B93" s="633"/>
      <c r="C93" s="174" t="s">
        <v>30</v>
      </c>
      <c r="D93" s="163" t="s">
        <v>405</v>
      </c>
      <c r="E93" s="162" t="s">
        <v>20</v>
      </c>
      <c r="F93" s="162" t="s">
        <v>404</v>
      </c>
      <c r="G93" s="162" t="s">
        <v>404</v>
      </c>
      <c r="H93" s="173" t="s">
        <v>404</v>
      </c>
      <c r="I93" s="162"/>
      <c r="J93" s="172"/>
      <c r="K93" s="161"/>
      <c r="L93" s="162"/>
      <c r="M93" s="162"/>
      <c r="N93" s="162"/>
      <c r="O93" s="171"/>
      <c r="P93" s="401"/>
      <c r="Q93" s="443"/>
      <c r="R93" s="409"/>
      <c r="S93" s="626"/>
    </row>
    <row r="94" spans="1:19" ht="39.75" x14ac:dyDescent="0.25">
      <c r="A94" s="506"/>
      <c r="B94" s="633"/>
      <c r="C94" s="18"/>
      <c r="D94" s="466" t="s">
        <v>644</v>
      </c>
      <c r="E94" s="18"/>
      <c r="F94" s="18"/>
      <c r="G94" s="18"/>
      <c r="H94" s="18"/>
      <c r="I94" s="18">
        <f>H92</f>
        <v>100</v>
      </c>
      <c r="J94" s="18"/>
      <c r="K94" s="466" t="s">
        <v>644</v>
      </c>
      <c r="L94" s="18"/>
      <c r="M94" s="18"/>
      <c r="N94" s="18"/>
      <c r="O94" s="18"/>
      <c r="P94" s="18">
        <f>O92</f>
        <v>100</v>
      </c>
      <c r="Q94" s="18">
        <f>(I94+P94)/2</f>
        <v>100</v>
      </c>
      <c r="R94" s="18" t="s">
        <v>25</v>
      </c>
      <c r="S94" s="628"/>
    </row>
    <row r="95" spans="1:19" ht="99" x14ac:dyDescent="0.25">
      <c r="A95" s="506"/>
      <c r="B95" s="633"/>
      <c r="C95" s="170" t="s">
        <v>36</v>
      </c>
      <c r="D95" s="167" t="s">
        <v>475</v>
      </c>
      <c r="E95" s="450"/>
      <c r="F95" s="169"/>
      <c r="G95" s="443"/>
      <c r="H95" s="443"/>
      <c r="I95" s="443"/>
      <c r="J95" s="168" t="str">
        <f>C95</f>
        <v>III</v>
      </c>
      <c r="K95" s="167" t="str">
        <f>D95</f>
        <v>Реализация дополнительных образовательных программ спортивной подготовки по олимпийским видам спорта 
Легкая атлетика (этап начальной подготовки)</v>
      </c>
      <c r="L95" s="162"/>
      <c r="M95" s="171"/>
      <c r="N95" s="171"/>
      <c r="O95" s="443"/>
      <c r="P95" s="401"/>
      <c r="Q95" s="443"/>
      <c r="R95" s="408"/>
      <c r="S95" s="626"/>
    </row>
    <row r="96" spans="1:19" ht="99" x14ac:dyDescent="0.25">
      <c r="A96" s="506"/>
      <c r="B96" s="633"/>
      <c r="C96" s="174" t="s">
        <v>38</v>
      </c>
      <c r="D96" s="163" t="s">
        <v>407</v>
      </c>
      <c r="E96" s="162" t="s">
        <v>20</v>
      </c>
      <c r="F96" s="173">
        <v>0</v>
      </c>
      <c r="G96" s="173">
        <v>0</v>
      </c>
      <c r="H96" s="171">
        <v>100</v>
      </c>
      <c r="I96" s="443"/>
      <c r="J96" s="172" t="str">
        <f>C96</f>
        <v>3.1.</v>
      </c>
      <c r="K96" s="161" t="s">
        <v>406</v>
      </c>
      <c r="L96" s="162" t="s">
        <v>20</v>
      </c>
      <c r="M96" s="162">
        <v>187</v>
      </c>
      <c r="N96" s="162">
        <v>187</v>
      </c>
      <c r="O96" s="171">
        <f>IF(N96/M96*100&gt;110,110,N96/M96*100)</f>
        <v>100</v>
      </c>
      <c r="P96" s="401"/>
      <c r="Q96" s="443"/>
      <c r="R96" s="409"/>
      <c r="S96" s="626"/>
    </row>
    <row r="97" spans="1:20" ht="181.5" x14ac:dyDescent="0.25">
      <c r="A97" s="506"/>
      <c r="B97" s="633"/>
      <c r="C97" s="174" t="s">
        <v>118</v>
      </c>
      <c r="D97" s="163" t="s">
        <v>405</v>
      </c>
      <c r="E97" s="162" t="s">
        <v>20</v>
      </c>
      <c r="F97" s="162" t="s">
        <v>404</v>
      </c>
      <c r="G97" s="162" t="s">
        <v>404</v>
      </c>
      <c r="H97" s="173" t="s">
        <v>404</v>
      </c>
      <c r="I97" s="162"/>
      <c r="J97" s="172"/>
      <c r="K97" s="161"/>
      <c r="L97" s="162"/>
      <c r="M97" s="162"/>
      <c r="N97" s="162"/>
      <c r="O97" s="171"/>
      <c r="P97" s="401"/>
      <c r="Q97" s="443"/>
      <c r="R97" s="409"/>
      <c r="S97" s="626"/>
    </row>
    <row r="98" spans="1:20" ht="39.75" x14ac:dyDescent="0.25">
      <c r="A98" s="506"/>
      <c r="B98" s="633"/>
      <c r="C98" s="18"/>
      <c r="D98" s="466" t="s">
        <v>644</v>
      </c>
      <c r="E98" s="18"/>
      <c r="F98" s="18"/>
      <c r="G98" s="18"/>
      <c r="H98" s="18"/>
      <c r="I98" s="18">
        <f>H96</f>
        <v>100</v>
      </c>
      <c r="J98" s="18"/>
      <c r="K98" s="466" t="s">
        <v>644</v>
      </c>
      <c r="L98" s="18"/>
      <c r="M98" s="18"/>
      <c r="N98" s="18"/>
      <c r="O98" s="18"/>
      <c r="P98" s="18">
        <f>O96</f>
        <v>100</v>
      </c>
      <c r="Q98" s="18">
        <f>(I98+P98)/2</f>
        <v>100</v>
      </c>
      <c r="R98" s="18" t="s">
        <v>25</v>
      </c>
      <c r="S98" s="628"/>
    </row>
    <row r="99" spans="1:20" ht="115.5" x14ac:dyDescent="0.25">
      <c r="A99" s="506"/>
      <c r="B99" s="633"/>
      <c r="C99" s="450" t="s">
        <v>123</v>
      </c>
      <c r="D99" s="167" t="s">
        <v>474</v>
      </c>
      <c r="E99" s="450"/>
      <c r="F99" s="169"/>
      <c r="G99" s="443"/>
      <c r="H99" s="443"/>
      <c r="I99" s="443"/>
      <c r="J99" s="168" t="str">
        <f>C99</f>
        <v>IV</v>
      </c>
      <c r="K99" s="167" t="str">
        <f>D99</f>
        <v>Реализация дополнительных образовательных программ спортивной подготовки по олимпийским видам спорта 
Легкая атлетика (учебно-тренировочный этап (этап спортивной специализации))</v>
      </c>
      <c r="L99" s="162"/>
      <c r="M99" s="171"/>
      <c r="N99" s="171"/>
      <c r="O99" s="443"/>
      <c r="P99" s="401"/>
      <c r="Q99" s="443"/>
      <c r="R99" s="408"/>
      <c r="S99" s="626"/>
      <c r="T99" s="501"/>
    </row>
    <row r="100" spans="1:20" ht="99" x14ac:dyDescent="0.25">
      <c r="A100" s="506"/>
      <c r="B100" s="633"/>
      <c r="C100" s="174" t="s">
        <v>124</v>
      </c>
      <c r="D100" s="163" t="s">
        <v>407</v>
      </c>
      <c r="E100" s="162" t="s">
        <v>20</v>
      </c>
      <c r="F100" s="173">
        <v>0</v>
      </c>
      <c r="G100" s="173">
        <v>0</v>
      </c>
      <c r="H100" s="171">
        <v>100</v>
      </c>
      <c r="I100" s="443"/>
      <c r="J100" s="172" t="str">
        <f>C100</f>
        <v>4.1.</v>
      </c>
      <c r="K100" s="161" t="s">
        <v>406</v>
      </c>
      <c r="L100" s="162" t="s">
        <v>20</v>
      </c>
      <c r="M100" s="162">
        <v>146</v>
      </c>
      <c r="N100" s="162">
        <v>146</v>
      </c>
      <c r="O100" s="171">
        <f>IF(N100/M100*100&gt;110,110,N100/M100*100)</f>
        <v>100</v>
      </c>
      <c r="P100" s="401"/>
      <c r="Q100" s="443"/>
      <c r="R100" s="409"/>
      <c r="S100" s="626"/>
      <c r="T100" s="114"/>
    </row>
    <row r="101" spans="1:20" ht="181.5" x14ac:dyDescent="0.25">
      <c r="A101" s="506"/>
      <c r="B101" s="633"/>
      <c r="C101" s="174" t="s">
        <v>127</v>
      </c>
      <c r="D101" s="163" t="s">
        <v>405</v>
      </c>
      <c r="E101" s="162" t="s">
        <v>20</v>
      </c>
      <c r="F101" s="162" t="s">
        <v>404</v>
      </c>
      <c r="G101" s="162" t="s">
        <v>404</v>
      </c>
      <c r="H101" s="173" t="s">
        <v>404</v>
      </c>
      <c r="I101" s="162"/>
      <c r="J101" s="172"/>
      <c r="K101" s="161"/>
      <c r="L101" s="162"/>
      <c r="M101" s="162"/>
      <c r="N101" s="162"/>
      <c r="O101" s="171"/>
      <c r="P101" s="401"/>
      <c r="Q101" s="443"/>
      <c r="R101" s="409"/>
      <c r="S101" s="626"/>
      <c r="T101" s="114"/>
    </row>
    <row r="102" spans="1:20" ht="39.75" x14ac:dyDescent="0.25">
      <c r="A102" s="506"/>
      <c r="B102" s="633"/>
      <c r="C102" s="18"/>
      <c r="D102" s="466" t="s">
        <v>644</v>
      </c>
      <c r="E102" s="18"/>
      <c r="F102" s="18"/>
      <c r="G102" s="18"/>
      <c r="H102" s="18"/>
      <c r="I102" s="18">
        <f>H100</f>
        <v>100</v>
      </c>
      <c r="J102" s="18"/>
      <c r="K102" s="466" t="s">
        <v>644</v>
      </c>
      <c r="L102" s="18"/>
      <c r="M102" s="18"/>
      <c r="N102" s="18"/>
      <c r="O102" s="18"/>
      <c r="P102" s="18">
        <f>O100</f>
        <v>100</v>
      </c>
      <c r="Q102" s="18">
        <f>(I102+P102)/2</f>
        <v>100</v>
      </c>
      <c r="R102" s="18" t="s">
        <v>25</v>
      </c>
      <c r="S102" s="628"/>
      <c r="T102" s="501"/>
    </row>
    <row r="103" spans="1:20" ht="99" x14ac:dyDescent="0.25">
      <c r="A103" s="506"/>
      <c r="B103" s="633"/>
      <c r="C103" s="450" t="s">
        <v>129</v>
      </c>
      <c r="D103" s="167" t="s">
        <v>473</v>
      </c>
      <c r="E103" s="450"/>
      <c r="F103" s="169"/>
      <c r="G103" s="443"/>
      <c r="H103" s="443"/>
      <c r="I103" s="443"/>
      <c r="J103" s="168" t="str">
        <f>C103</f>
        <v>V</v>
      </c>
      <c r="K103" s="167" t="str">
        <f>D103</f>
        <v>Реализация дополнительных образовательных программ спортивной подготовки по олимпийским видам спорта 
Фехтование (этап начальной подготовки)</v>
      </c>
      <c r="L103" s="162"/>
      <c r="M103" s="182"/>
      <c r="N103" s="182"/>
      <c r="O103" s="443"/>
      <c r="P103" s="401"/>
      <c r="Q103" s="443"/>
      <c r="R103" s="408"/>
      <c r="S103" s="626"/>
      <c r="T103" s="502"/>
    </row>
    <row r="104" spans="1:20" ht="99" x14ac:dyDescent="0.25">
      <c r="A104" s="506"/>
      <c r="B104" s="633"/>
      <c r="C104" s="174" t="s">
        <v>131</v>
      </c>
      <c r="D104" s="163" t="s">
        <v>407</v>
      </c>
      <c r="E104" s="162" t="s">
        <v>20</v>
      </c>
      <c r="F104" s="173">
        <v>0</v>
      </c>
      <c r="G104" s="173">
        <v>0</v>
      </c>
      <c r="H104" s="171">
        <v>100</v>
      </c>
      <c r="I104" s="443"/>
      <c r="J104" s="172" t="str">
        <f>C104</f>
        <v>5.1.</v>
      </c>
      <c r="K104" s="161" t="s">
        <v>406</v>
      </c>
      <c r="L104" s="162" t="s">
        <v>20</v>
      </c>
      <c r="M104" s="162">
        <v>10</v>
      </c>
      <c r="N104" s="162">
        <v>9</v>
      </c>
      <c r="O104" s="171">
        <f>IF(N104/M104*100&gt;110,110,N104/M104*100)</f>
        <v>90</v>
      </c>
      <c r="P104" s="401"/>
      <c r="Q104" s="443"/>
      <c r="R104" s="409"/>
      <c r="S104" s="626"/>
      <c r="T104" s="501"/>
    </row>
    <row r="105" spans="1:20" ht="181.5" x14ac:dyDescent="0.25">
      <c r="A105" s="506"/>
      <c r="B105" s="633"/>
      <c r="C105" s="174" t="s">
        <v>183</v>
      </c>
      <c r="D105" s="163" t="s">
        <v>405</v>
      </c>
      <c r="E105" s="162" t="s">
        <v>20</v>
      </c>
      <c r="F105" s="162" t="s">
        <v>404</v>
      </c>
      <c r="G105" s="162" t="s">
        <v>404</v>
      </c>
      <c r="H105" s="173" t="s">
        <v>404</v>
      </c>
      <c r="I105" s="162"/>
      <c r="J105" s="172"/>
      <c r="K105" s="161"/>
      <c r="L105" s="162"/>
      <c r="M105" s="162"/>
      <c r="N105" s="162"/>
      <c r="O105" s="171"/>
      <c r="P105" s="401"/>
      <c r="Q105" s="443"/>
      <c r="R105" s="409"/>
      <c r="S105" s="626"/>
      <c r="T105" s="501"/>
    </row>
    <row r="106" spans="1:20" ht="39.75" x14ac:dyDescent="0.25">
      <c r="A106" s="506"/>
      <c r="B106" s="633"/>
      <c r="C106" s="18"/>
      <c r="D106" s="466" t="s">
        <v>644</v>
      </c>
      <c r="E106" s="18"/>
      <c r="F106" s="18"/>
      <c r="G106" s="18"/>
      <c r="H106" s="18"/>
      <c r="I106" s="18">
        <f>H104</f>
        <v>100</v>
      </c>
      <c r="J106" s="18"/>
      <c r="K106" s="466" t="s">
        <v>644</v>
      </c>
      <c r="L106" s="18"/>
      <c r="M106" s="18"/>
      <c r="N106" s="18"/>
      <c r="O106" s="18"/>
      <c r="P106" s="18">
        <f>O104</f>
        <v>90</v>
      </c>
      <c r="Q106" s="18">
        <f>(I106+P106)/2</f>
        <v>95</v>
      </c>
      <c r="R106" s="18" t="s">
        <v>112</v>
      </c>
      <c r="S106" s="628"/>
    </row>
    <row r="107" spans="1:20" ht="115.5" x14ac:dyDescent="0.25">
      <c r="A107" s="506"/>
      <c r="B107" s="633"/>
      <c r="C107" s="170" t="s">
        <v>140</v>
      </c>
      <c r="D107" s="167" t="s">
        <v>472</v>
      </c>
      <c r="E107" s="450"/>
      <c r="F107" s="169"/>
      <c r="G107" s="443"/>
      <c r="H107" s="443"/>
      <c r="I107" s="443"/>
      <c r="J107" s="168" t="str">
        <f>C107</f>
        <v>VI</v>
      </c>
      <c r="K107" s="167" t="str">
        <f>D107</f>
        <v>Реализация дополнительных образовательных программ спортивной подготовки по олимпийским видам спорта 
Фехтование (учебно-тренировочный этап (этап спортивной специализации))</v>
      </c>
      <c r="L107" s="162"/>
      <c r="M107" s="182"/>
      <c r="N107" s="182"/>
      <c r="O107" s="443"/>
      <c r="P107" s="401"/>
      <c r="Q107" s="443"/>
      <c r="R107" s="408"/>
      <c r="S107" s="626"/>
      <c r="T107" s="502"/>
    </row>
    <row r="108" spans="1:20" ht="99" x14ac:dyDescent="0.25">
      <c r="A108" s="506"/>
      <c r="B108" s="633"/>
      <c r="C108" s="174" t="s">
        <v>142</v>
      </c>
      <c r="D108" s="163" t="s">
        <v>407</v>
      </c>
      <c r="E108" s="162" t="s">
        <v>20</v>
      </c>
      <c r="F108" s="173">
        <v>0</v>
      </c>
      <c r="G108" s="173">
        <v>0</v>
      </c>
      <c r="H108" s="171">
        <v>100</v>
      </c>
      <c r="I108" s="443"/>
      <c r="J108" s="172" t="str">
        <f>C108</f>
        <v>6.1.</v>
      </c>
      <c r="K108" s="161" t="s">
        <v>406</v>
      </c>
      <c r="L108" s="162" t="s">
        <v>20</v>
      </c>
      <c r="M108" s="162">
        <v>43</v>
      </c>
      <c r="N108" s="162">
        <v>43</v>
      </c>
      <c r="O108" s="171">
        <f>IF(N108/M108*100&gt;110,110,N108/M108*100)</f>
        <v>100</v>
      </c>
      <c r="P108" s="401"/>
      <c r="Q108" s="443"/>
      <c r="R108" s="409"/>
      <c r="S108" s="626"/>
      <c r="T108" s="501"/>
    </row>
    <row r="109" spans="1:20" ht="181.5" x14ac:dyDescent="0.25">
      <c r="A109" s="506"/>
      <c r="B109" s="633"/>
      <c r="C109" s="174" t="s">
        <v>188</v>
      </c>
      <c r="D109" s="163" t="s">
        <v>405</v>
      </c>
      <c r="E109" s="162" t="s">
        <v>20</v>
      </c>
      <c r="F109" s="162" t="s">
        <v>404</v>
      </c>
      <c r="G109" s="162" t="s">
        <v>404</v>
      </c>
      <c r="H109" s="173" t="s">
        <v>404</v>
      </c>
      <c r="I109" s="162"/>
      <c r="J109" s="172"/>
      <c r="K109" s="161"/>
      <c r="L109" s="162"/>
      <c r="M109" s="162"/>
      <c r="N109" s="162"/>
      <c r="O109" s="171"/>
      <c r="P109" s="401"/>
      <c r="Q109" s="443"/>
      <c r="R109" s="409"/>
      <c r="S109" s="626"/>
      <c r="T109" s="501"/>
    </row>
    <row r="110" spans="1:20" ht="39.75" x14ac:dyDescent="0.25">
      <c r="A110" s="506"/>
      <c r="B110" s="633"/>
      <c r="C110" s="18"/>
      <c r="D110" s="466" t="s">
        <v>644</v>
      </c>
      <c r="E110" s="18"/>
      <c r="F110" s="18"/>
      <c r="G110" s="18"/>
      <c r="H110" s="18"/>
      <c r="I110" s="18">
        <f>H108</f>
        <v>100</v>
      </c>
      <c r="J110" s="18"/>
      <c r="K110" s="466" t="s">
        <v>644</v>
      </c>
      <c r="L110" s="18"/>
      <c r="M110" s="18"/>
      <c r="N110" s="18"/>
      <c r="O110" s="18"/>
      <c r="P110" s="18">
        <f>O108</f>
        <v>100</v>
      </c>
      <c r="Q110" s="18">
        <f>(I110+P110)/2</f>
        <v>100</v>
      </c>
      <c r="R110" s="18" t="s">
        <v>25</v>
      </c>
      <c r="S110" s="628"/>
    </row>
    <row r="111" spans="1:20" ht="99" x14ac:dyDescent="0.25">
      <c r="A111" s="506"/>
      <c r="B111" s="633"/>
      <c r="C111" s="450" t="s">
        <v>144</v>
      </c>
      <c r="D111" s="167" t="s">
        <v>435</v>
      </c>
      <c r="E111" s="162"/>
      <c r="F111" s="181"/>
      <c r="G111" s="179"/>
      <c r="H111" s="443"/>
      <c r="I111" s="443"/>
      <c r="J111" s="450" t="s">
        <v>144</v>
      </c>
      <c r="K111" s="167" t="str">
        <f>D111</f>
        <v>Реализация дополнительных образовательных программ спортивной подготовки по олимпийским видам спорта 
Дзюдо (этап начальной подготовки)</v>
      </c>
      <c r="L111" s="162"/>
      <c r="M111" s="177"/>
      <c r="N111" s="177"/>
      <c r="O111" s="443"/>
      <c r="P111" s="178"/>
      <c r="Q111" s="443"/>
      <c r="R111" s="180"/>
      <c r="S111" s="628"/>
    </row>
    <row r="112" spans="1:20" ht="99" x14ac:dyDescent="0.25">
      <c r="A112" s="506"/>
      <c r="B112" s="633"/>
      <c r="C112" s="162" t="s">
        <v>146</v>
      </c>
      <c r="D112" s="163" t="s">
        <v>407</v>
      </c>
      <c r="E112" s="162" t="s">
        <v>20</v>
      </c>
      <c r="F112" s="173">
        <v>0</v>
      </c>
      <c r="G112" s="173">
        <v>0</v>
      </c>
      <c r="H112" s="171">
        <v>100</v>
      </c>
      <c r="I112" s="443"/>
      <c r="J112" s="172" t="s">
        <v>146</v>
      </c>
      <c r="K112" s="161" t="s">
        <v>406</v>
      </c>
      <c r="L112" s="162" t="s">
        <v>20</v>
      </c>
      <c r="M112" s="175">
        <v>71</v>
      </c>
      <c r="N112" s="175">
        <v>69</v>
      </c>
      <c r="O112" s="171">
        <f>IF(N112/M112*100&gt;110,110,N112/M112*100)</f>
        <v>97.183098591549296</v>
      </c>
      <c r="P112" s="410"/>
      <c r="Q112" s="443"/>
      <c r="R112" s="409"/>
      <c r="S112" s="628"/>
    </row>
    <row r="113" spans="1:19" ht="181.5" x14ac:dyDescent="0.25">
      <c r="A113" s="506"/>
      <c r="B113" s="633"/>
      <c r="C113" s="162" t="s">
        <v>433</v>
      </c>
      <c r="D113" s="163" t="s">
        <v>405</v>
      </c>
      <c r="E113" s="162" t="s">
        <v>20</v>
      </c>
      <c r="F113" s="162" t="s">
        <v>404</v>
      </c>
      <c r="G113" s="162" t="s">
        <v>404</v>
      </c>
      <c r="H113" s="173" t="s">
        <v>404</v>
      </c>
      <c r="I113" s="162"/>
      <c r="J113" s="172"/>
      <c r="K113" s="161"/>
      <c r="L113" s="162"/>
      <c r="M113" s="175"/>
      <c r="N113" s="175"/>
      <c r="O113" s="171"/>
      <c r="P113" s="410"/>
      <c r="Q113" s="443"/>
      <c r="R113" s="409"/>
      <c r="S113" s="628"/>
    </row>
    <row r="114" spans="1:19" ht="39.75" x14ac:dyDescent="0.25">
      <c r="A114" s="506"/>
      <c r="B114" s="633"/>
      <c r="C114" s="18"/>
      <c r="D114" s="466" t="s">
        <v>644</v>
      </c>
      <c r="E114" s="18"/>
      <c r="F114" s="18"/>
      <c r="G114" s="18"/>
      <c r="H114" s="18"/>
      <c r="I114" s="18">
        <f>H112</f>
        <v>100</v>
      </c>
      <c r="J114" s="18"/>
      <c r="K114" s="466" t="s">
        <v>644</v>
      </c>
      <c r="L114" s="18"/>
      <c r="M114" s="18"/>
      <c r="N114" s="18"/>
      <c r="O114" s="18"/>
      <c r="P114" s="18">
        <f>O112</f>
        <v>97.183098591549296</v>
      </c>
      <c r="Q114" s="18">
        <f>(I114+P114)/2</f>
        <v>98.591549295774655</v>
      </c>
      <c r="R114" s="18" t="s">
        <v>112</v>
      </c>
      <c r="S114" s="628"/>
    </row>
    <row r="115" spans="1:19" ht="115.5" x14ac:dyDescent="0.25">
      <c r="A115" s="506"/>
      <c r="B115" s="633"/>
      <c r="C115" s="450" t="s">
        <v>147</v>
      </c>
      <c r="D115" s="167" t="s">
        <v>434</v>
      </c>
      <c r="E115" s="162"/>
      <c r="F115" s="173"/>
      <c r="G115" s="171"/>
      <c r="H115" s="443"/>
      <c r="I115" s="443"/>
      <c r="J115" s="168" t="s">
        <v>26</v>
      </c>
      <c r="K115" s="167" t="str">
        <f>D115</f>
        <v>Реализация дополнительных образовательных программ спортивной подготовки по олимпийским видам спорта 
Дзюдо (учебно-тренировочный этап (этап спортивной специализации))</v>
      </c>
      <c r="L115" s="162"/>
      <c r="M115" s="177"/>
      <c r="N115" s="177"/>
      <c r="O115" s="443"/>
      <c r="P115" s="179"/>
      <c r="Q115" s="443"/>
      <c r="R115" s="408"/>
      <c r="S115" s="628"/>
    </row>
    <row r="116" spans="1:19" ht="99" x14ac:dyDescent="0.25">
      <c r="A116" s="506"/>
      <c r="B116" s="633"/>
      <c r="C116" s="162" t="s">
        <v>149</v>
      </c>
      <c r="D116" s="163" t="s">
        <v>407</v>
      </c>
      <c r="E116" s="162" t="s">
        <v>20</v>
      </c>
      <c r="F116" s="173">
        <v>0</v>
      </c>
      <c r="G116" s="173">
        <v>0</v>
      </c>
      <c r="H116" s="171">
        <v>100</v>
      </c>
      <c r="I116" s="443"/>
      <c r="J116" s="172" t="str">
        <f>C116</f>
        <v>8.1.</v>
      </c>
      <c r="K116" s="161" t="s">
        <v>406</v>
      </c>
      <c r="L116" s="162" t="s">
        <v>20</v>
      </c>
      <c r="M116" s="175">
        <v>56</v>
      </c>
      <c r="N116" s="175">
        <v>56</v>
      </c>
      <c r="O116" s="171">
        <f>IF(N116/M116*100&gt;110,110,N116/M116*100)</f>
        <v>100</v>
      </c>
      <c r="P116" s="410"/>
      <c r="Q116" s="443"/>
      <c r="R116" s="409"/>
      <c r="S116" s="628"/>
    </row>
    <row r="117" spans="1:19" ht="181.5" x14ac:dyDescent="0.25">
      <c r="A117" s="506"/>
      <c r="B117" s="633"/>
      <c r="C117" s="162" t="s">
        <v>429</v>
      </c>
      <c r="D117" s="163" t="s">
        <v>405</v>
      </c>
      <c r="E117" s="162" t="s">
        <v>20</v>
      </c>
      <c r="F117" s="162" t="s">
        <v>404</v>
      </c>
      <c r="G117" s="162" t="s">
        <v>404</v>
      </c>
      <c r="H117" s="173" t="s">
        <v>404</v>
      </c>
      <c r="I117" s="162"/>
      <c r="J117" s="172"/>
      <c r="K117" s="161"/>
      <c r="L117" s="162"/>
      <c r="M117" s="177"/>
      <c r="N117" s="177"/>
      <c r="O117" s="171"/>
      <c r="P117" s="410"/>
      <c r="Q117" s="443"/>
      <c r="R117" s="409"/>
      <c r="S117" s="628"/>
    </row>
    <row r="118" spans="1:19" ht="39.75" x14ac:dyDescent="0.25">
      <c r="A118" s="506"/>
      <c r="B118" s="633"/>
      <c r="C118" s="18"/>
      <c r="D118" s="466" t="s">
        <v>644</v>
      </c>
      <c r="E118" s="18"/>
      <c r="F118" s="18"/>
      <c r="G118" s="18"/>
      <c r="H118" s="18"/>
      <c r="I118" s="18">
        <f>H116</f>
        <v>100</v>
      </c>
      <c r="J118" s="18"/>
      <c r="K118" s="466" t="s">
        <v>644</v>
      </c>
      <c r="L118" s="18"/>
      <c r="M118" s="18"/>
      <c r="N118" s="18"/>
      <c r="O118" s="18"/>
      <c r="P118" s="18">
        <f>O116</f>
        <v>100</v>
      </c>
      <c r="Q118" s="18">
        <f>(I118+P118)/2</f>
        <v>100</v>
      </c>
      <c r="R118" s="18" t="s">
        <v>25</v>
      </c>
      <c r="S118" s="628"/>
    </row>
    <row r="119" spans="1:19" ht="99" x14ac:dyDescent="0.25">
      <c r="A119" s="506"/>
      <c r="B119" s="633"/>
      <c r="C119" s="450" t="s">
        <v>150</v>
      </c>
      <c r="D119" s="167" t="s">
        <v>437</v>
      </c>
      <c r="E119" s="162"/>
      <c r="F119" s="173"/>
      <c r="G119" s="171"/>
      <c r="H119" s="443"/>
      <c r="I119" s="443"/>
      <c r="J119" s="168" t="str">
        <f>C119</f>
        <v>IX</v>
      </c>
      <c r="K119" s="167" t="str">
        <f>D119</f>
        <v>Реализация дополнительных образовательных программ спортивной подготовки по олимпийским видам спорта 
Бокс (этап начальной подготовки)</v>
      </c>
      <c r="L119" s="162"/>
      <c r="M119" s="177"/>
      <c r="N119" s="177"/>
      <c r="O119" s="443"/>
      <c r="P119" s="178"/>
      <c r="Q119" s="443"/>
      <c r="R119" s="408"/>
      <c r="S119" s="628"/>
    </row>
    <row r="120" spans="1:19" ht="99" x14ac:dyDescent="0.25">
      <c r="A120" s="506"/>
      <c r="B120" s="633"/>
      <c r="C120" s="162" t="s">
        <v>152</v>
      </c>
      <c r="D120" s="163" t="s">
        <v>407</v>
      </c>
      <c r="E120" s="162" t="s">
        <v>20</v>
      </c>
      <c r="F120" s="173">
        <v>0</v>
      </c>
      <c r="G120" s="173">
        <v>0</v>
      </c>
      <c r="H120" s="171">
        <v>100</v>
      </c>
      <c r="I120" s="443"/>
      <c r="J120" s="172" t="str">
        <f>C120</f>
        <v>9.1.</v>
      </c>
      <c r="K120" s="161" t="s">
        <v>406</v>
      </c>
      <c r="L120" s="162" t="s">
        <v>20</v>
      </c>
      <c r="M120" s="175">
        <v>29</v>
      </c>
      <c r="N120" s="175">
        <v>29</v>
      </c>
      <c r="O120" s="171">
        <f>IF(N120/M120*100&gt;110,110,N120/M120*100)</f>
        <v>100</v>
      </c>
      <c r="P120" s="410"/>
      <c r="Q120" s="443"/>
      <c r="R120" s="409"/>
      <c r="S120" s="628"/>
    </row>
    <row r="121" spans="1:19" ht="181.5" x14ac:dyDescent="0.25">
      <c r="A121" s="506"/>
      <c r="B121" s="633"/>
      <c r="C121" s="162" t="s">
        <v>431</v>
      </c>
      <c r="D121" s="163" t="s">
        <v>405</v>
      </c>
      <c r="E121" s="162" t="s">
        <v>20</v>
      </c>
      <c r="F121" s="162" t="s">
        <v>404</v>
      </c>
      <c r="G121" s="162" t="s">
        <v>404</v>
      </c>
      <c r="H121" s="173" t="s">
        <v>404</v>
      </c>
      <c r="I121" s="162"/>
      <c r="J121" s="172"/>
      <c r="K121" s="161"/>
      <c r="L121" s="162"/>
      <c r="M121" s="177"/>
      <c r="N121" s="177"/>
      <c r="O121" s="171"/>
      <c r="P121" s="410"/>
      <c r="Q121" s="443"/>
      <c r="R121" s="409"/>
      <c r="S121" s="628"/>
    </row>
    <row r="122" spans="1:19" ht="39.75" x14ac:dyDescent="0.25">
      <c r="A122" s="506"/>
      <c r="B122" s="633"/>
      <c r="C122" s="18"/>
      <c r="D122" s="466" t="s">
        <v>644</v>
      </c>
      <c r="E122" s="18"/>
      <c r="F122" s="18"/>
      <c r="G122" s="18"/>
      <c r="H122" s="18"/>
      <c r="I122" s="18">
        <f>H120</f>
        <v>100</v>
      </c>
      <c r="J122" s="18"/>
      <c r="K122" s="466" t="s">
        <v>644</v>
      </c>
      <c r="L122" s="18"/>
      <c r="M122" s="18"/>
      <c r="N122" s="18"/>
      <c r="O122" s="18"/>
      <c r="P122" s="18">
        <f>O120</f>
        <v>100</v>
      </c>
      <c r="Q122" s="18">
        <f>(I122+P122)/2</f>
        <v>100</v>
      </c>
      <c r="R122" s="18" t="s">
        <v>25</v>
      </c>
      <c r="S122" s="628"/>
    </row>
    <row r="123" spans="1:19" ht="115.5" x14ac:dyDescent="0.25">
      <c r="A123" s="506"/>
      <c r="B123" s="633"/>
      <c r="C123" s="450" t="s">
        <v>277</v>
      </c>
      <c r="D123" s="167" t="s">
        <v>436</v>
      </c>
      <c r="E123" s="162"/>
      <c r="F123" s="173"/>
      <c r="G123" s="171"/>
      <c r="H123" s="443"/>
      <c r="I123" s="443"/>
      <c r="J123" s="168" t="str">
        <f>C123</f>
        <v>X</v>
      </c>
      <c r="K123" s="167" t="str">
        <f>D123</f>
        <v>Реализация дополнительных образовательных программ спортивной подготовки по олимпийским видам спорта 
Бокс (учебно-тренировочный этап (этап спортивной специализации))</v>
      </c>
      <c r="L123" s="162"/>
      <c r="M123" s="177"/>
      <c r="N123" s="177"/>
      <c r="O123" s="443"/>
      <c r="P123" s="443"/>
      <c r="Q123" s="443"/>
      <c r="R123" s="408"/>
      <c r="S123" s="628"/>
    </row>
    <row r="124" spans="1:19" ht="99" x14ac:dyDescent="0.25">
      <c r="A124" s="506"/>
      <c r="B124" s="633"/>
      <c r="C124" s="162" t="s">
        <v>278</v>
      </c>
      <c r="D124" s="163" t="s">
        <v>407</v>
      </c>
      <c r="E124" s="162" t="s">
        <v>20</v>
      </c>
      <c r="F124" s="173">
        <v>0</v>
      </c>
      <c r="G124" s="173">
        <v>0</v>
      </c>
      <c r="H124" s="171">
        <v>100</v>
      </c>
      <c r="I124" s="443"/>
      <c r="J124" s="172" t="str">
        <f>C124</f>
        <v>10.1.</v>
      </c>
      <c r="K124" s="161" t="s">
        <v>406</v>
      </c>
      <c r="L124" s="162" t="s">
        <v>20</v>
      </c>
      <c r="M124" s="175">
        <v>37</v>
      </c>
      <c r="N124" s="175">
        <v>37</v>
      </c>
      <c r="O124" s="171">
        <f>IF(N124/M124*100&gt;110,110,N124/M124*100)</f>
        <v>100</v>
      </c>
      <c r="P124" s="410"/>
      <c r="Q124" s="443"/>
      <c r="R124" s="409"/>
      <c r="S124" s="628"/>
    </row>
    <row r="125" spans="1:19" ht="181.5" x14ac:dyDescent="0.25">
      <c r="A125" s="506"/>
      <c r="B125" s="633"/>
      <c r="C125" s="162" t="s">
        <v>444</v>
      </c>
      <c r="D125" s="163" t="s">
        <v>405</v>
      </c>
      <c r="E125" s="162" t="s">
        <v>20</v>
      </c>
      <c r="F125" s="162" t="s">
        <v>404</v>
      </c>
      <c r="G125" s="162" t="s">
        <v>404</v>
      </c>
      <c r="H125" s="173" t="s">
        <v>404</v>
      </c>
      <c r="I125" s="162"/>
      <c r="J125" s="172"/>
      <c r="K125" s="161"/>
      <c r="L125" s="162"/>
      <c r="M125" s="175"/>
      <c r="N125" s="175"/>
      <c r="O125" s="171"/>
      <c r="P125" s="410"/>
      <c r="Q125" s="443"/>
      <c r="R125" s="409"/>
      <c r="S125" s="628"/>
    </row>
    <row r="126" spans="1:19" ht="39.75" x14ac:dyDescent="0.25">
      <c r="A126" s="506"/>
      <c r="B126" s="633"/>
      <c r="C126" s="18"/>
      <c r="D126" s="466" t="s">
        <v>644</v>
      </c>
      <c r="E126" s="18"/>
      <c r="F126" s="18"/>
      <c r="G126" s="18"/>
      <c r="H126" s="18"/>
      <c r="I126" s="18">
        <f>H124</f>
        <v>100</v>
      </c>
      <c r="J126" s="18"/>
      <c r="K126" s="466" t="s">
        <v>644</v>
      </c>
      <c r="L126" s="18"/>
      <c r="M126" s="18"/>
      <c r="N126" s="18"/>
      <c r="O126" s="18"/>
      <c r="P126" s="18">
        <f>O124</f>
        <v>100</v>
      </c>
      <c r="Q126" s="18">
        <f>(I126+P126)/2</f>
        <v>100</v>
      </c>
      <c r="R126" s="18" t="s">
        <v>25</v>
      </c>
      <c r="S126" s="628"/>
    </row>
    <row r="127" spans="1:19" ht="99" x14ac:dyDescent="0.25">
      <c r="A127" s="506"/>
      <c r="B127" s="633"/>
      <c r="C127" s="450" t="s">
        <v>279</v>
      </c>
      <c r="D127" s="167" t="s">
        <v>446</v>
      </c>
      <c r="E127" s="162"/>
      <c r="F127" s="173"/>
      <c r="G127" s="171"/>
      <c r="H127" s="443"/>
      <c r="I127" s="443"/>
      <c r="J127" s="168" t="str">
        <f>C127</f>
        <v>XI</v>
      </c>
      <c r="K127" s="167" t="str">
        <f>D127</f>
        <v>Реализация дополнительных образовательных программ спортивной подготовки по олимпийским видам спорта 
Спортивная борьба (этап начальной подготовки)</v>
      </c>
      <c r="L127" s="450"/>
      <c r="M127" s="176"/>
      <c r="N127" s="176"/>
      <c r="O127" s="443"/>
      <c r="P127" s="443"/>
      <c r="Q127" s="443"/>
      <c r="R127" s="408"/>
      <c r="S127" s="628"/>
    </row>
    <row r="128" spans="1:19" ht="99" x14ac:dyDescent="0.25">
      <c r="A128" s="506"/>
      <c r="B128" s="633"/>
      <c r="C128" s="162" t="s">
        <v>280</v>
      </c>
      <c r="D128" s="163" t="s">
        <v>407</v>
      </c>
      <c r="E128" s="162" t="s">
        <v>20</v>
      </c>
      <c r="F128" s="173">
        <v>0</v>
      </c>
      <c r="G128" s="173">
        <v>0</v>
      </c>
      <c r="H128" s="171">
        <v>100</v>
      </c>
      <c r="I128" s="443"/>
      <c r="J128" s="172" t="str">
        <f>C128</f>
        <v>11.1.</v>
      </c>
      <c r="K128" s="161" t="s">
        <v>406</v>
      </c>
      <c r="L128" s="162" t="s">
        <v>20</v>
      </c>
      <c r="M128" s="175">
        <v>71</v>
      </c>
      <c r="N128" s="175">
        <v>71</v>
      </c>
      <c r="O128" s="171">
        <f>IF(N128/M128*100&gt;110,110,N128/M128*100)</f>
        <v>100</v>
      </c>
      <c r="P128" s="410"/>
      <c r="Q128" s="443"/>
      <c r="R128" s="409"/>
      <c r="S128" s="628"/>
    </row>
    <row r="129" spans="1:19" ht="181.5" x14ac:dyDescent="0.25">
      <c r="A129" s="506"/>
      <c r="B129" s="633"/>
      <c r="C129" s="162" t="s">
        <v>471</v>
      </c>
      <c r="D129" s="163" t="s">
        <v>405</v>
      </c>
      <c r="E129" s="162" t="s">
        <v>20</v>
      </c>
      <c r="F129" s="162" t="s">
        <v>404</v>
      </c>
      <c r="G129" s="162" t="s">
        <v>404</v>
      </c>
      <c r="H129" s="173" t="s">
        <v>404</v>
      </c>
      <c r="I129" s="162"/>
      <c r="J129" s="172"/>
      <c r="K129" s="161"/>
      <c r="L129" s="162"/>
      <c r="M129" s="175"/>
      <c r="N129" s="175"/>
      <c r="O129" s="171"/>
      <c r="P129" s="410"/>
      <c r="Q129" s="443"/>
      <c r="R129" s="409"/>
      <c r="S129" s="628"/>
    </row>
    <row r="130" spans="1:19" ht="39.75" x14ac:dyDescent="0.25">
      <c r="A130" s="506"/>
      <c r="B130" s="633"/>
      <c r="C130" s="18"/>
      <c r="D130" s="466" t="s">
        <v>644</v>
      </c>
      <c r="E130" s="18"/>
      <c r="F130" s="18"/>
      <c r="G130" s="18"/>
      <c r="H130" s="18"/>
      <c r="I130" s="18">
        <f>H128</f>
        <v>100</v>
      </c>
      <c r="J130" s="18"/>
      <c r="K130" s="466" t="s">
        <v>644</v>
      </c>
      <c r="L130" s="18"/>
      <c r="M130" s="18"/>
      <c r="N130" s="18"/>
      <c r="O130" s="18"/>
      <c r="P130" s="18">
        <f>O128</f>
        <v>100</v>
      </c>
      <c r="Q130" s="18">
        <f>(I130+P130)/2</f>
        <v>100</v>
      </c>
      <c r="R130" s="18" t="s">
        <v>25</v>
      </c>
      <c r="S130" s="628"/>
    </row>
    <row r="131" spans="1:19" ht="115.5" x14ac:dyDescent="0.25">
      <c r="A131" s="506"/>
      <c r="B131" s="633"/>
      <c r="C131" s="450" t="s">
        <v>442</v>
      </c>
      <c r="D131" s="167" t="s">
        <v>445</v>
      </c>
      <c r="E131" s="162"/>
      <c r="F131" s="173"/>
      <c r="G131" s="171"/>
      <c r="H131" s="443"/>
      <c r="I131" s="443"/>
      <c r="J131" s="168" t="str">
        <f>C131</f>
        <v>XII</v>
      </c>
      <c r="K131" s="167" t="str">
        <f>D131</f>
        <v>Реализация дополнительных образовательных программ спортивной подготовки по олимпийским видам спорта 
Спортивная борьба (учебно-тренировочный этап (этап спортивной специализации))</v>
      </c>
      <c r="L131" s="450"/>
      <c r="M131" s="176"/>
      <c r="N131" s="176"/>
      <c r="O131" s="443"/>
      <c r="P131" s="443"/>
      <c r="Q131" s="443"/>
      <c r="R131" s="408"/>
      <c r="S131" s="628"/>
    </row>
    <row r="132" spans="1:19" ht="99" x14ac:dyDescent="0.25">
      <c r="A132" s="506"/>
      <c r="B132" s="633"/>
      <c r="C132" s="162" t="s">
        <v>441</v>
      </c>
      <c r="D132" s="163" t="s">
        <v>407</v>
      </c>
      <c r="E132" s="162" t="s">
        <v>20</v>
      </c>
      <c r="F132" s="173">
        <v>0</v>
      </c>
      <c r="G132" s="173">
        <v>0</v>
      </c>
      <c r="H132" s="171">
        <v>100</v>
      </c>
      <c r="I132" s="443"/>
      <c r="J132" s="172" t="s">
        <v>441</v>
      </c>
      <c r="K132" s="161" t="s">
        <v>406</v>
      </c>
      <c r="L132" s="162" t="s">
        <v>20</v>
      </c>
      <c r="M132" s="175">
        <v>45</v>
      </c>
      <c r="N132" s="175">
        <v>45</v>
      </c>
      <c r="O132" s="171">
        <f>IF(N132/M132*100&gt;110,110,N132/M132*100)</f>
        <v>100</v>
      </c>
      <c r="P132" s="410"/>
      <c r="Q132" s="443"/>
      <c r="R132" s="409"/>
      <c r="S132" s="628"/>
    </row>
    <row r="133" spans="1:19" ht="181.5" x14ac:dyDescent="0.25">
      <c r="A133" s="506"/>
      <c r="B133" s="633"/>
      <c r="C133" s="162" t="s">
        <v>470</v>
      </c>
      <c r="D133" s="163" t="s">
        <v>405</v>
      </c>
      <c r="E133" s="162" t="s">
        <v>20</v>
      </c>
      <c r="F133" s="162" t="s">
        <v>404</v>
      </c>
      <c r="G133" s="162" t="s">
        <v>404</v>
      </c>
      <c r="H133" s="173" t="s">
        <v>404</v>
      </c>
      <c r="I133" s="162"/>
      <c r="J133" s="172"/>
      <c r="K133" s="161"/>
      <c r="L133" s="162"/>
      <c r="M133" s="175"/>
      <c r="N133" s="175"/>
      <c r="O133" s="171"/>
      <c r="P133" s="410"/>
      <c r="Q133" s="443"/>
      <c r="R133" s="409"/>
      <c r="S133" s="628"/>
    </row>
    <row r="134" spans="1:19" ht="39.75" x14ac:dyDescent="0.25">
      <c r="A134" s="506"/>
      <c r="B134" s="633"/>
      <c r="C134" s="18"/>
      <c r="D134" s="466" t="s">
        <v>644</v>
      </c>
      <c r="E134" s="18"/>
      <c r="F134" s="18"/>
      <c r="G134" s="18"/>
      <c r="H134" s="18"/>
      <c r="I134" s="18">
        <f>H132</f>
        <v>100</v>
      </c>
      <c r="J134" s="18"/>
      <c r="K134" s="466" t="s">
        <v>644</v>
      </c>
      <c r="L134" s="18"/>
      <c r="M134" s="18"/>
      <c r="N134" s="18"/>
      <c r="O134" s="18"/>
      <c r="P134" s="18">
        <f>O132</f>
        <v>100</v>
      </c>
      <c r="Q134" s="18">
        <f>(I134+P134)/2</f>
        <v>100</v>
      </c>
      <c r="R134" s="18" t="s">
        <v>25</v>
      </c>
      <c r="S134" s="628"/>
    </row>
    <row r="135" spans="1:19" ht="99" x14ac:dyDescent="0.25">
      <c r="A135" s="506"/>
      <c r="B135" s="633"/>
      <c r="C135" s="450" t="s">
        <v>469</v>
      </c>
      <c r="D135" s="167" t="s">
        <v>468</v>
      </c>
      <c r="E135" s="162"/>
      <c r="F135" s="173"/>
      <c r="G135" s="171"/>
      <c r="H135" s="443"/>
      <c r="I135" s="443"/>
      <c r="J135" s="168" t="str">
        <f>C135</f>
        <v>XIII</v>
      </c>
      <c r="K135" s="167" t="str">
        <f>D135</f>
        <v>Реализация дополнительных образовательных программ спортивной подготовки по неолимпийским видам спорта 
Каратэ (этап начальной подготовки)</v>
      </c>
      <c r="L135" s="450"/>
      <c r="M135" s="176"/>
      <c r="N135" s="176"/>
      <c r="O135" s="443"/>
      <c r="P135" s="443"/>
      <c r="Q135" s="443"/>
      <c r="R135" s="408"/>
      <c r="S135" s="628"/>
    </row>
    <row r="136" spans="1:19" ht="99" x14ac:dyDescent="0.25">
      <c r="A136" s="506"/>
      <c r="B136" s="633"/>
      <c r="C136" s="162" t="s">
        <v>443</v>
      </c>
      <c r="D136" s="163" t="s">
        <v>407</v>
      </c>
      <c r="E136" s="162" t="s">
        <v>20</v>
      </c>
      <c r="F136" s="173">
        <v>0</v>
      </c>
      <c r="G136" s="173">
        <v>0</v>
      </c>
      <c r="H136" s="171">
        <v>100</v>
      </c>
      <c r="I136" s="443"/>
      <c r="J136" s="162" t="s">
        <v>443</v>
      </c>
      <c r="K136" s="161" t="s">
        <v>406</v>
      </c>
      <c r="L136" s="162" t="s">
        <v>20</v>
      </c>
      <c r="M136" s="175">
        <v>26</v>
      </c>
      <c r="N136" s="175">
        <v>24</v>
      </c>
      <c r="O136" s="171">
        <f>IF(N136/M136*100&gt;110,110,N136/M136*100)</f>
        <v>92.307692307692307</v>
      </c>
      <c r="P136" s="410"/>
      <c r="Q136" s="443"/>
      <c r="R136" s="409"/>
      <c r="S136" s="628"/>
    </row>
    <row r="137" spans="1:19" ht="181.5" x14ac:dyDescent="0.25">
      <c r="A137" s="506"/>
      <c r="B137" s="633"/>
      <c r="C137" s="162" t="s">
        <v>467</v>
      </c>
      <c r="D137" s="163" t="s">
        <v>405</v>
      </c>
      <c r="E137" s="162" t="s">
        <v>20</v>
      </c>
      <c r="F137" s="162" t="s">
        <v>404</v>
      </c>
      <c r="G137" s="162" t="s">
        <v>404</v>
      </c>
      <c r="H137" s="173" t="s">
        <v>404</v>
      </c>
      <c r="I137" s="162"/>
      <c r="J137" s="172"/>
      <c r="K137" s="161"/>
      <c r="L137" s="162"/>
      <c r="M137" s="175"/>
      <c r="N137" s="175"/>
      <c r="O137" s="171"/>
      <c r="P137" s="410"/>
      <c r="Q137" s="443"/>
      <c r="R137" s="409"/>
      <c r="S137" s="628"/>
    </row>
    <row r="138" spans="1:19" ht="39.75" x14ac:dyDescent="0.25">
      <c r="A138" s="506"/>
      <c r="B138" s="633"/>
      <c r="C138" s="18"/>
      <c r="D138" s="466" t="s">
        <v>644</v>
      </c>
      <c r="E138" s="18"/>
      <c r="F138" s="18"/>
      <c r="G138" s="18"/>
      <c r="H138" s="18"/>
      <c r="I138" s="18">
        <f>H136</f>
        <v>100</v>
      </c>
      <c r="J138" s="18"/>
      <c r="K138" s="466" t="s">
        <v>644</v>
      </c>
      <c r="L138" s="18"/>
      <c r="M138" s="18"/>
      <c r="N138" s="18"/>
      <c r="O138" s="18"/>
      <c r="P138" s="18">
        <f>O136</f>
        <v>92.307692307692307</v>
      </c>
      <c r="Q138" s="18">
        <f>(I138+P138)/2</f>
        <v>96.15384615384616</v>
      </c>
      <c r="R138" s="18" t="s">
        <v>112</v>
      </c>
      <c r="S138" s="628"/>
    </row>
    <row r="139" spans="1:19" ht="123.75" customHeight="1" x14ac:dyDescent="0.25">
      <c r="A139" s="506"/>
      <c r="B139" s="633"/>
      <c r="C139" s="450" t="s">
        <v>440</v>
      </c>
      <c r="D139" s="167" t="s">
        <v>466</v>
      </c>
      <c r="E139" s="162"/>
      <c r="F139" s="173"/>
      <c r="G139" s="171"/>
      <c r="H139" s="443"/>
      <c r="I139" s="443"/>
      <c r="J139" s="168" t="str">
        <f>C139</f>
        <v>XIV</v>
      </c>
      <c r="K139" s="167" t="str">
        <f>D139</f>
        <v>Реализация дополнительных образовательных программ спортивной подготовки по неолимпийским видам спорта 
Каратэ (учебно-тренировочный этап (этап спортивной специализации))</v>
      </c>
      <c r="L139" s="450"/>
      <c r="M139" s="176"/>
      <c r="N139" s="176"/>
      <c r="O139" s="443"/>
      <c r="P139" s="443"/>
      <c r="Q139" s="443"/>
      <c r="R139" s="408"/>
      <c r="S139" s="628"/>
    </row>
    <row r="140" spans="1:19" ht="99" x14ac:dyDescent="0.25">
      <c r="A140" s="506"/>
      <c r="B140" s="633"/>
      <c r="C140" s="162" t="s">
        <v>439</v>
      </c>
      <c r="D140" s="163" t="s">
        <v>407</v>
      </c>
      <c r="E140" s="162" t="s">
        <v>20</v>
      </c>
      <c r="F140" s="173">
        <v>0</v>
      </c>
      <c r="G140" s="173">
        <v>0</v>
      </c>
      <c r="H140" s="171">
        <v>100</v>
      </c>
      <c r="I140" s="443"/>
      <c r="J140" s="172" t="s">
        <v>439</v>
      </c>
      <c r="K140" s="161" t="s">
        <v>406</v>
      </c>
      <c r="L140" s="162" t="s">
        <v>20</v>
      </c>
      <c r="M140" s="175">
        <v>23</v>
      </c>
      <c r="N140" s="175">
        <v>23</v>
      </c>
      <c r="O140" s="171">
        <f>IF(N140/M140*100&gt;110,110,N140/M140*100)</f>
        <v>100</v>
      </c>
      <c r="P140" s="410"/>
      <c r="Q140" s="443"/>
      <c r="R140" s="409"/>
      <c r="S140" s="628"/>
    </row>
    <row r="141" spans="1:19" ht="181.5" x14ac:dyDescent="0.25">
      <c r="A141" s="506"/>
      <c r="B141" s="633"/>
      <c r="C141" s="162" t="s">
        <v>465</v>
      </c>
      <c r="D141" s="163" t="s">
        <v>405</v>
      </c>
      <c r="E141" s="162" t="s">
        <v>20</v>
      </c>
      <c r="F141" s="162" t="s">
        <v>404</v>
      </c>
      <c r="G141" s="162" t="s">
        <v>404</v>
      </c>
      <c r="H141" s="173" t="s">
        <v>404</v>
      </c>
      <c r="I141" s="162"/>
      <c r="J141" s="172"/>
      <c r="K141" s="161"/>
      <c r="L141" s="162"/>
      <c r="M141" s="175"/>
      <c r="N141" s="175"/>
      <c r="O141" s="171"/>
      <c r="P141" s="410"/>
      <c r="Q141" s="443"/>
      <c r="R141" s="409"/>
      <c r="S141" s="628"/>
    </row>
    <row r="142" spans="1:19" ht="39.75" x14ac:dyDescent="0.25">
      <c r="A142" s="506"/>
      <c r="B142" s="633"/>
      <c r="C142" s="18"/>
      <c r="D142" s="466" t="s">
        <v>644</v>
      </c>
      <c r="E142" s="18"/>
      <c r="F142" s="18"/>
      <c r="G142" s="18"/>
      <c r="H142" s="18"/>
      <c r="I142" s="18">
        <f>H140</f>
        <v>100</v>
      </c>
      <c r="J142" s="18"/>
      <c r="K142" s="466" t="s">
        <v>644</v>
      </c>
      <c r="L142" s="18"/>
      <c r="M142" s="18"/>
      <c r="N142" s="18"/>
      <c r="O142" s="18"/>
      <c r="P142" s="18">
        <f>O140</f>
        <v>100</v>
      </c>
      <c r="Q142" s="18">
        <f>(I142+P142)/2</f>
        <v>100</v>
      </c>
      <c r="R142" s="18" t="s">
        <v>25</v>
      </c>
      <c r="S142" s="628"/>
    </row>
    <row r="143" spans="1:19" ht="99" x14ac:dyDescent="0.25">
      <c r="A143" s="506"/>
      <c r="B143" s="633"/>
      <c r="C143" s="450" t="s">
        <v>464</v>
      </c>
      <c r="D143" s="167" t="s">
        <v>463</v>
      </c>
      <c r="E143" s="162"/>
      <c r="F143" s="173"/>
      <c r="G143" s="171"/>
      <c r="H143" s="443"/>
      <c r="I143" s="443"/>
      <c r="J143" s="168" t="str">
        <f>C143</f>
        <v>XV</v>
      </c>
      <c r="K143" s="167" t="str">
        <f>D143</f>
        <v>Реализация дополнительных образовательных программ спортивной подготовки по неолимпийским видам спорта 
Самбо (этап начальной подготовки)</v>
      </c>
      <c r="L143" s="450"/>
      <c r="M143" s="176"/>
      <c r="N143" s="176"/>
      <c r="O143" s="443"/>
      <c r="P143" s="443"/>
      <c r="Q143" s="443"/>
      <c r="R143" s="408"/>
      <c r="S143" s="628"/>
    </row>
    <row r="144" spans="1:19" ht="99" x14ac:dyDescent="0.25">
      <c r="A144" s="506"/>
      <c r="B144" s="633"/>
      <c r="C144" s="162" t="s">
        <v>462</v>
      </c>
      <c r="D144" s="163" t="s">
        <v>407</v>
      </c>
      <c r="E144" s="162" t="s">
        <v>20</v>
      </c>
      <c r="F144" s="173">
        <v>0</v>
      </c>
      <c r="G144" s="173">
        <v>0</v>
      </c>
      <c r="H144" s="171">
        <v>100</v>
      </c>
      <c r="I144" s="443"/>
      <c r="J144" s="162" t="s">
        <v>462</v>
      </c>
      <c r="K144" s="161" t="s">
        <v>406</v>
      </c>
      <c r="L144" s="162" t="s">
        <v>20</v>
      </c>
      <c r="M144" s="175">
        <v>28</v>
      </c>
      <c r="N144" s="175">
        <v>28</v>
      </c>
      <c r="O144" s="171">
        <f>IF(N144/M144*100&gt;110,110,N144/M144*100)</f>
        <v>100</v>
      </c>
      <c r="P144" s="410"/>
      <c r="Q144" s="443"/>
      <c r="R144" s="409"/>
      <c r="S144" s="628"/>
    </row>
    <row r="145" spans="1:20" ht="181.5" x14ac:dyDescent="0.25">
      <c r="A145" s="506"/>
      <c r="B145" s="633"/>
      <c r="C145" s="162" t="s">
        <v>461</v>
      </c>
      <c r="D145" s="163" t="s">
        <v>405</v>
      </c>
      <c r="E145" s="162" t="s">
        <v>20</v>
      </c>
      <c r="F145" s="162" t="s">
        <v>404</v>
      </c>
      <c r="G145" s="162" t="s">
        <v>404</v>
      </c>
      <c r="H145" s="173" t="s">
        <v>404</v>
      </c>
      <c r="I145" s="162"/>
      <c r="J145" s="172"/>
      <c r="K145" s="161"/>
      <c r="L145" s="162"/>
      <c r="M145" s="175"/>
      <c r="N145" s="175"/>
      <c r="O145" s="171"/>
      <c r="P145" s="410"/>
      <c r="Q145" s="443"/>
      <c r="R145" s="409"/>
      <c r="S145" s="628"/>
    </row>
    <row r="146" spans="1:20" ht="39.75" x14ac:dyDescent="0.25">
      <c r="A146" s="506"/>
      <c r="B146" s="633"/>
      <c r="C146" s="18"/>
      <c r="D146" s="466" t="s">
        <v>644</v>
      </c>
      <c r="E146" s="18"/>
      <c r="F146" s="18"/>
      <c r="G146" s="18"/>
      <c r="H146" s="18"/>
      <c r="I146" s="18">
        <f>H144</f>
        <v>100</v>
      </c>
      <c r="J146" s="18"/>
      <c r="K146" s="466" t="s">
        <v>644</v>
      </c>
      <c r="L146" s="18"/>
      <c r="M146" s="18"/>
      <c r="N146" s="18"/>
      <c r="O146" s="18"/>
      <c r="P146" s="18">
        <f>O144</f>
        <v>100</v>
      </c>
      <c r="Q146" s="18">
        <f>(I146+P146)/2</f>
        <v>100</v>
      </c>
      <c r="R146" s="18" t="s">
        <v>25</v>
      </c>
      <c r="S146" s="628"/>
    </row>
    <row r="147" spans="1:20" ht="115.5" x14ac:dyDescent="0.25">
      <c r="A147" s="506"/>
      <c r="B147" s="633"/>
      <c r="C147" s="450" t="s">
        <v>460</v>
      </c>
      <c r="D147" s="167" t="s">
        <v>459</v>
      </c>
      <c r="E147" s="162"/>
      <c r="F147" s="173"/>
      <c r="G147" s="171"/>
      <c r="H147" s="443"/>
      <c r="I147" s="443"/>
      <c r="J147" s="168" t="str">
        <f>C147</f>
        <v>XVI</v>
      </c>
      <c r="K147" s="167" t="str">
        <f>D147</f>
        <v>Реализация дополнительных образовательных программ спортивной подготовки по неолимпийским видам спорта 
Самбо (учебно-тренировочный этап (этап спортивной специализации))</v>
      </c>
      <c r="L147" s="450"/>
      <c r="M147" s="176"/>
      <c r="N147" s="176"/>
      <c r="O147" s="443"/>
      <c r="P147" s="443"/>
      <c r="Q147" s="443"/>
      <c r="R147" s="408"/>
      <c r="S147" s="628"/>
    </row>
    <row r="148" spans="1:20" ht="99" x14ac:dyDescent="0.25">
      <c r="A148" s="506"/>
      <c r="B148" s="633"/>
      <c r="C148" s="162" t="s">
        <v>458</v>
      </c>
      <c r="D148" s="163" t="s">
        <v>407</v>
      </c>
      <c r="E148" s="162" t="s">
        <v>20</v>
      </c>
      <c r="F148" s="173">
        <v>0</v>
      </c>
      <c r="G148" s="173">
        <v>0</v>
      </c>
      <c r="H148" s="171">
        <v>100</v>
      </c>
      <c r="I148" s="443"/>
      <c r="J148" s="172" t="str">
        <f>C148</f>
        <v>16.1.</v>
      </c>
      <c r="K148" s="161" t="s">
        <v>406</v>
      </c>
      <c r="L148" s="162" t="s">
        <v>20</v>
      </c>
      <c r="M148" s="175">
        <v>34</v>
      </c>
      <c r="N148" s="175">
        <v>34</v>
      </c>
      <c r="O148" s="171">
        <f>IF(N148/M148*100&gt;110,110,N148/M148*100)</f>
        <v>100</v>
      </c>
      <c r="P148" s="410"/>
      <c r="Q148" s="443"/>
      <c r="R148" s="409"/>
      <c r="S148" s="628"/>
    </row>
    <row r="149" spans="1:20" ht="181.5" x14ac:dyDescent="0.25">
      <c r="A149" s="506"/>
      <c r="B149" s="633"/>
      <c r="C149" s="162" t="s">
        <v>457</v>
      </c>
      <c r="D149" s="163" t="s">
        <v>405</v>
      </c>
      <c r="E149" s="162" t="s">
        <v>20</v>
      </c>
      <c r="F149" s="162" t="s">
        <v>404</v>
      </c>
      <c r="G149" s="162" t="s">
        <v>404</v>
      </c>
      <c r="H149" s="173" t="s">
        <v>404</v>
      </c>
      <c r="I149" s="162"/>
      <c r="J149" s="172"/>
      <c r="K149" s="161"/>
      <c r="L149" s="162"/>
      <c r="M149" s="175"/>
      <c r="N149" s="175"/>
      <c r="O149" s="171"/>
      <c r="P149" s="410"/>
      <c r="Q149" s="443"/>
      <c r="R149" s="409"/>
      <c r="S149" s="628"/>
    </row>
    <row r="150" spans="1:20" ht="39.75" x14ac:dyDescent="0.25">
      <c r="A150" s="506"/>
      <c r="B150" s="633"/>
      <c r="C150" s="18"/>
      <c r="D150" s="466" t="s">
        <v>644</v>
      </c>
      <c r="E150" s="18"/>
      <c r="F150" s="18"/>
      <c r="G150" s="18"/>
      <c r="H150" s="18"/>
      <c r="I150" s="18">
        <f>H148</f>
        <v>100</v>
      </c>
      <c r="J150" s="18"/>
      <c r="K150" s="466" t="s">
        <v>644</v>
      </c>
      <c r="L150" s="18"/>
      <c r="M150" s="18"/>
      <c r="N150" s="18"/>
      <c r="O150" s="18"/>
      <c r="P150" s="18">
        <f>O148</f>
        <v>100</v>
      </c>
      <c r="Q150" s="18">
        <f>(I150+P150)/2</f>
        <v>100</v>
      </c>
      <c r="R150" s="18" t="s">
        <v>25</v>
      </c>
      <c r="S150" s="628"/>
    </row>
    <row r="151" spans="1:20" s="316" customFormat="1" ht="33" x14ac:dyDescent="0.25">
      <c r="A151" s="506"/>
      <c r="B151" s="633"/>
      <c r="C151" s="436" t="s">
        <v>456</v>
      </c>
      <c r="D151" s="167" t="s">
        <v>415</v>
      </c>
      <c r="E151" s="450"/>
      <c r="F151" s="169"/>
      <c r="G151" s="443"/>
      <c r="H151" s="443"/>
      <c r="I151" s="443"/>
      <c r="J151" s="168" t="str">
        <f>C151</f>
        <v>XVII</v>
      </c>
      <c r="K151" s="167" t="str">
        <f>D151</f>
        <v xml:space="preserve">Реализация дополнительных общеразвивающих программ </v>
      </c>
      <c r="L151" s="450"/>
      <c r="M151" s="450"/>
      <c r="N151" s="450"/>
      <c r="O151" s="443"/>
      <c r="P151" s="401"/>
      <c r="Q151" s="443"/>
      <c r="R151" s="408"/>
      <c r="S151" s="626"/>
      <c r="T151" s="502"/>
    </row>
    <row r="152" spans="1:20" x14ac:dyDescent="0.25">
      <c r="A152" s="506"/>
      <c r="B152" s="633"/>
      <c r="C152" s="174" t="s">
        <v>455</v>
      </c>
      <c r="D152" s="161" t="s">
        <v>404</v>
      </c>
      <c r="E152" s="161" t="s">
        <v>404</v>
      </c>
      <c r="F152" s="161" t="s">
        <v>404</v>
      </c>
      <c r="G152" s="161" t="s">
        <v>404</v>
      </c>
      <c r="H152" s="173" t="s">
        <v>404</v>
      </c>
      <c r="I152" s="161"/>
      <c r="J152" s="172" t="str">
        <f>C152</f>
        <v>17.1.</v>
      </c>
      <c r="K152" s="161" t="s">
        <v>132</v>
      </c>
      <c r="L152" s="162" t="s">
        <v>414</v>
      </c>
      <c r="M152" s="162">
        <v>48120</v>
      </c>
      <c r="N152" s="162">
        <v>43308</v>
      </c>
      <c r="O152" s="171">
        <f>IF(N152/M152*100&gt;110,110,N152/M152*100)</f>
        <v>90</v>
      </c>
      <c r="P152" s="401"/>
      <c r="Q152" s="443"/>
      <c r="R152" s="409"/>
      <c r="S152" s="626"/>
      <c r="T152" s="501"/>
    </row>
    <row r="153" spans="1:20" ht="39.75" x14ac:dyDescent="0.25">
      <c r="A153" s="506"/>
      <c r="B153" s="633"/>
      <c r="C153" s="18"/>
      <c r="D153" s="466" t="s">
        <v>644</v>
      </c>
      <c r="E153" s="18"/>
      <c r="F153" s="18"/>
      <c r="G153" s="18"/>
      <c r="H153" s="18"/>
      <c r="I153" s="18" t="s">
        <v>245</v>
      </c>
      <c r="J153" s="18"/>
      <c r="K153" s="466" t="s">
        <v>644</v>
      </c>
      <c r="L153" s="18"/>
      <c r="M153" s="18"/>
      <c r="N153" s="18"/>
      <c r="O153" s="18"/>
      <c r="P153" s="18">
        <f>O152</f>
        <v>90</v>
      </c>
      <c r="Q153" s="18">
        <f>P153</f>
        <v>90</v>
      </c>
      <c r="R153" s="18" t="s">
        <v>112</v>
      </c>
      <c r="S153" s="628"/>
      <c r="T153" s="502"/>
    </row>
    <row r="154" spans="1:20" ht="49.5" x14ac:dyDescent="0.25">
      <c r="A154" s="506"/>
      <c r="B154" s="633"/>
      <c r="C154" s="170" t="s">
        <v>454</v>
      </c>
      <c r="D154" s="167" t="s">
        <v>369</v>
      </c>
      <c r="E154" s="450"/>
      <c r="F154" s="169"/>
      <c r="G154" s="443"/>
      <c r="H154" s="443"/>
      <c r="I154" s="443"/>
      <c r="J154" s="168" t="str">
        <f>C154</f>
        <v>XVIII</v>
      </c>
      <c r="K154" s="167" t="str">
        <f>D154</f>
        <v>Организация мероприятий по подготовке спортивных сборных команд</v>
      </c>
      <c r="L154" s="450"/>
      <c r="M154" s="450"/>
      <c r="N154" s="450"/>
      <c r="O154" s="443"/>
      <c r="P154" s="401"/>
      <c r="Q154" s="443"/>
      <c r="R154" s="408"/>
      <c r="S154" s="626"/>
      <c r="T154" s="501"/>
    </row>
    <row r="155" spans="1:20" ht="84.75" customHeight="1" x14ac:dyDescent="0.25">
      <c r="A155" s="506"/>
      <c r="B155" s="633"/>
      <c r="C155" s="436" t="s">
        <v>453</v>
      </c>
      <c r="D155" s="418" t="s">
        <v>403</v>
      </c>
      <c r="E155" s="444" t="s">
        <v>18</v>
      </c>
      <c r="F155" s="444">
        <v>5</v>
      </c>
      <c r="G155" s="444">
        <v>16.600000000000001</v>
      </c>
      <c r="H155" s="444">
        <f>IF(G155/F155*100&gt;100,100,G155/F155*100)</f>
        <v>100</v>
      </c>
      <c r="I155" s="444"/>
      <c r="J155" s="444" t="str">
        <f>C155</f>
        <v>18.1.</v>
      </c>
      <c r="K155" s="418" t="s">
        <v>367</v>
      </c>
      <c r="L155" s="444" t="s">
        <v>20</v>
      </c>
      <c r="M155" s="444">
        <v>130</v>
      </c>
      <c r="N155" s="444">
        <v>181</v>
      </c>
      <c r="O155" s="444">
        <f>IF(N155/M155*100&gt;110,110,N155/M155*100)</f>
        <v>110</v>
      </c>
      <c r="P155" s="436"/>
      <c r="Q155" s="436"/>
      <c r="R155" s="436"/>
      <c r="S155" s="626"/>
    </row>
    <row r="156" spans="1:20" ht="39.75" x14ac:dyDescent="0.25">
      <c r="A156" s="507"/>
      <c r="B156" s="634"/>
      <c r="C156" s="18"/>
      <c r="D156" s="466" t="s">
        <v>644</v>
      </c>
      <c r="E156" s="18"/>
      <c r="F156" s="18"/>
      <c r="G156" s="18"/>
      <c r="H156" s="18"/>
      <c r="I156" s="18">
        <f>H155</f>
        <v>100</v>
      </c>
      <c r="J156" s="18"/>
      <c r="K156" s="466" t="s">
        <v>644</v>
      </c>
      <c r="L156" s="18"/>
      <c r="M156" s="18"/>
      <c r="N156" s="18"/>
      <c r="O156" s="18"/>
      <c r="P156" s="18">
        <f>O155</f>
        <v>110</v>
      </c>
      <c r="Q156" s="18">
        <f>(I156+P156)/2</f>
        <v>105</v>
      </c>
      <c r="R156" s="18" t="s">
        <v>25</v>
      </c>
      <c r="S156" s="628"/>
    </row>
    <row r="157" spans="1:20" ht="115.5" x14ac:dyDescent="0.25">
      <c r="A157" s="505" t="s">
        <v>51</v>
      </c>
      <c r="B157" s="508" t="s">
        <v>452</v>
      </c>
      <c r="C157" s="160" t="s">
        <v>13</v>
      </c>
      <c r="D157" s="34" t="s">
        <v>451</v>
      </c>
      <c r="E157" s="434"/>
      <c r="F157" s="138"/>
      <c r="G157" s="444"/>
      <c r="H157" s="436"/>
      <c r="I157" s="436"/>
      <c r="J157" s="130" t="s">
        <v>13</v>
      </c>
      <c r="K157" s="34" t="str">
        <f>D157</f>
        <v xml:space="preserve">Реализация дополнительных образовательных программ спортивной подготовки по олимпийским видам спорта 
Прыжки на батуте (этап начальной подготовки)
</v>
      </c>
      <c r="L157" s="434"/>
      <c r="M157" s="138"/>
      <c r="N157" s="138"/>
      <c r="O157" s="436"/>
      <c r="P157" s="31"/>
      <c r="Q157" s="436"/>
      <c r="R157" s="402"/>
      <c r="S157" s="623" t="s">
        <v>15</v>
      </c>
    </row>
    <row r="158" spans="1:20" ht="99" x14ac:dyDescent="0.25">
      <c r="A158" s="506"/>
      <c r="B158" s="509"/>
      <c r="C158" s="139" t="s">
        <v>16</v>
      </c>
      <c r="D158" s="163" t="s">
        <v>407</v>
      </c>
      <c r="E158" s="434" t="s">
        <v>20</v>
      </c>
      <c r="F158" s="135">
        <v>0</v>
      </c>
      <c r="G158" s="135">
        <v>0</v>
      </c>
      <c r="H158" s="444">
        <v>100</v>
      </c>
      <c r="I158" s="436"/>
      <c r="J158" s="136" t="s">
        <v>424</v>
      </c>
      <c r="K158" s="440" t="s">
        <v>406</v>
      </c>
      <c r="L158" s="434" t="s">
        <v>20</v>
      </c>
      <c r="M158" s="135">
        <v>47</v>
      </c>
      <c r="N158" s="135">
        <v>47</v>
      </c>
      <c r="O158" s="444">
        <f>IF(N158/M158*100&gt;110,110,N158/M158*100)</f>
        <v>100</v>
      </c>
      <c r="P158" s="401"/>
      <c r="Q158" s="436"/>
      <c r="R158" s="400"/>
      <c r="S158" s="626"/>
    </row>
    <row r="159" spans="1:20" ht="181.5" x14ac:dyDescent="0.25">
      <c r="A159" s="506"/>
      <c r="B159" s="509"/>
      <c r="C159" s="139" t="s">
        <v>21</v>
      </c>
      <c r="D159" s="163" t="s">
        <v>405</v>
      </c>
      <c r="E159" s="434" t="s">
        <v>20</v>
      </c>
      <c r="F159" s="434" t="s">
        <v>404</v>
      </c>
      <c r="G159" s="434" t="s">
        <v>404</v>
      </c>
      <c r="H159" s="135" t="s">
        <v>404</v>
      </c>
      <c r="I159" s="434"/>
      <c r="J159" s="136"/>
      <c r="K159" s="440"/>
      <c r="L159" s="434"/>
      <c r="M159" s="407"/>
      <c r="N159" s="407"/>
      <c r="O159" s="444"/>
      <c r="P159" s="401"/>
      <c r="Q159" s="436"/>
      <c r="R159" s="400"/>
      <c r="S159" s="626"/>
    </row>
    <row r="160" spans="1:20" ht="39.75" x14ac:dyDescent="0.25">
      <c r="A160" s="506"/>
      <c r="B160" s="509"/>
      <c r="C160" s="18"/>
      <c r="D160" s="466" t="s">
        <v>644</v>
      </c>
      <c r="E160" s="18"/>
      <c r="F160" s="18"/>
      <c r="G160" s="18"/>
      <c r="H160" s="18"/>
      <c r="I160" s="18">
        <f>H158</f>
        <v>100</v>
      </c>
      <c r="J160" s="18"/>
      <c r="K160" s="466" t="s">
        <v>644</v>
      </c>
      <c r="L160" s="18"/>
      <c r="M160" s="18"/>
      <c r="N160" s="18"/>
      <c r="O160" s="18"/>
      <c r="P160" s="18">
        <f>O158</f>
        <v>100</v>
      </c>
      <c r="Q160" s="18">
        <f>(I160+P160)/2</f>
        <v>100</v>
      </c>
      <c r="R160" s="18" t="s">
        <v>25</v>
      </c>
      <c r="S160" s="628"/>
    </row>
    <row r="161" spans="1:19" ht="115.5" x14ac:dyDescent="0.25">
      <c r="A161" s="506"/>
      <c r="B161" s="509"/>
      <c r="C161" s="432" t="s">
        <v>26</v>
      </c>
      <c r="D161" s="34" t="s">
        <v>450</v>
      </c>
      <c r="E161" s="432"/>
      <c r="F161" s="66"/>
      <c r="G161" s="436"/>
      <c r="H161" s="436"/>
      <c r="I161" s="436"/>
      <c r="J161" s="130" t="s">
        <v>26</v>
      </c>
      <c r="K161" s="34" t="str">
        <f>D161</f>
        <v>Реализация дополнительных образовательных программ спортивной подготовки по олимпийским видам спорта 
Прыжки на батуте (учебно-тренировочный этап (этап спортивной специализации))</v>
      </c>
      <c r="L161" s="434"/>
      <c r="M161" s="444"/>
      <c r="N161" s="444"/>
      <c r="O161" s="436"/>
      <c r="P161" s="401"/>
      <c r="Q161" s="436"/>
      <c r="R161" s="402"/>
      <c r="S161" s="626"/>
    </row>
    <row r="162" spans="1:19" ht="99" x14ac:dyDescent="0.25">
      <c r="A162" s="506"/>
      <c r="B162" s="509"/>
      <c r="C162" s="139" t="s">
        <v>28</v>
      </c>
      <c r="D162" s="163" t="s">
        <v>407</v>
      </c>
      <c r="E162" s="434" t="s">
        <v>20</v>
      </c>
      <c r="F162" s="135">
        <v>0</v>
      </c>
      <c r="G162" s="135">
        <v>0</v>
      </c>
      <c r="H162" s="444">
        <v>100</v>
      </c>
      <c r="I162" s="436"/>
      <c r="J162" s="136" t="s">
        <v>449</v>
      </c>
      <c r="K162" s="440" t="s">
        <v>406</v>
      </c>
      <c r="L162" s="434" t="s">
        <v>20</v>
      </c>
      <c r="M162" s="135">
        <v>51</v>
      </c>
      <c r="N162" s="135">
        <v>51</v>
      </c>
      <c r="O162" s="444">
        <f>IF(N162/M162*100&gt;110,110,N162/M162*100)</f>
        <v>100</v>
      </c>
      <c r="P162" s="401"/>
      <c r="Q162" s="436"/>
      <c r="R162" s="400"/>
      <c r="S162" s="626"/>
    </row>
    <row r="163" spans="1:19" ht="181.5" x14ac:dyDescent="0.25">
      <c r="A163" s="506"/>
      <c r="B163" s="509"/>
      <c r="C163" s="139" t="s">
        <v>30</v>
      </c>
      <c r="D163" s="163" t="s">
        <v>405</v>
      </c>
      <c r="E163" s="434" t="s">
        <v>20</v>
      </c>
      <c r="F163" s="434" t="s">
        <v>404</v>
      </c>
      <c r="G163" s="434" t="s">
        <v>404</v>
      </c>
      <c r="H163" s="135" t="s">
        <v>404</v>
      </c>
      <c r="I163" s="434"/>
      <c r="J163" s="136"/>
      <c r="K163" s="440"/>
      <c r="L163" s="434"/>
      <c r="M163" s="434"/>
      <c r="N163" s="434"/>
      <c r="O163" s="444"/>
      <c r="P163" s="401"/>
      <c r="Q163" s="436"/>
      <c r="R163" s="400"/>
      <c r="S163" s="626"/>
    </row>
    <row r="164" spans="1:19" ht="39.75" x14ac:dyDescent="0.25">
      <c r="A164" s="506"/>
      <c r="B164" s="509"/>
      <c r="C164" s="18"/>
      <c r="D164" s="466" t="s">
        <v>644</v>
      </c>
      <c r="E164" s="18"/>
      <c r="F164" s="18"/>
      <c r="G164" s="18"/>
      <c r="H164" s="18"/>
      <c r="I164" s="18">
        <f>H162</f>
        <v>100</v>
      </c>
      <c r="J164" s="18"/>
      <c r="K164" s="466" t="s">
        <v>644</v>
      </c>
      <c r="L164" s="18"/>
      <c r="M164" s="18"/>
      <c r="N164" s="18"/>
      <c r="O164" s="18"/>
      <c r="P164" s="18">
        <f>O162</f>
        <v>100</v>
      </c>
      <c r="Q164" s="18">
        <f>(I164+P164)/2</f>
        <v>100</v>
      </c>
      <c r="R164" s="18" t="s">
        <v>25</v>
      </c>
      <c r="S164" s="628"/>
    </row>
    <row r="165" spans="1:19" ht="99" x14ac:dyDescent="0.25">
      <c r="A165" s="506"/>
      <c r="B165" s="509"/>
      <c r="C165" s="432" t="s">
        <v>36</v>
      </c>
      <c r="D165" s="34" t="s">
        <v>437</v>
      </c>
      <c r="E165" s="432"/>
      <c r="F165" s="66"/>
      <c r="G165" s="436"/>
      <c r="H165" s="436"/>
      <c r="I165" s="436"/>
      <c r="J165" s="130" t="str">
        <f>C165</f>
        <v>III</v>
      </c>
      <c r="K165" s="34" t="s">
        <v>448</v>
      </c>
      <c r="L165" s="432"/>
      <c r="M165" s="66"/>
      <c r="N165" s="436"/>
      <c r="O165" s="436"/>
      <c r="P165" s="436"/>
      <c r="Q165" s="436"/>
      <c r="R165" s="402"/>
      <c r="S165" s="626"/>
    </row>
    <row r="166" spans="1:19" ht="99" x14ac:dyDescent="0.25">
      <c r="A166" s="506"/>
      <c r="B166" s="509"/>
      <c r="C166" s="139" t="s">
        <v>38</v>
      </c>
      <c r="D166" s="163" t="s">
        <v>407</v>
      </c>
      <c r="E166" s="434" t="s">
        <v>20</v>
      </c>
      <c r="F166" s="135">
        <v>0</v>
      </c>
      <c r="G166" s="135">
        <v>0</v>
      </c>
      <c r="H166" s="444">
        <v>100</v>
      </c>
      <c r="I166" s="436"/>
      <c r="J166" s="136" t="str">
        <f>C166</f>
        <v>3.1.</v>
      </c>
      <c r="K166" s="440" t="s">
        <v>406</v>
      </c>
      <c r="L166" s="434" t="s">
        <v>20</v>
      </c>
      <c r="M166" s="135">
        <v>98</v>
      </c>
      <c r="N166" s="434">
        <v>98</v>
      </c>
      <c r="O166" s="444">
        <f>IF(N166/M166*100&gt;110,110,N166/M166*100)</f>
        <v>100</v>
      </c>
      <c r="P166" s="401"/>
      <c r="Q166" s="436"/>
      <c r="R166" s="400"/>
      <c r="S166" s="626"/>
    </row>
    <row r="167" spans="1:19" ht="181.5" x14ac:dyDescent="0.25">
      <c r="A167" s="506"/>
      <c r="B167" s="509"/>
      <c r="C167" s="139" t="s">
        <v>118</v>
      </c>
      <c r="D167" s="163" t="s">
        <v>405</v>
      </c>
      <c r="E167" s="434" t="s">
        <v>20</v>
      </c>
      <c r="F167" s="434" t="s">
        <v>404</v>
      </c>
      <c r="G167" s="434" t="s">
        <v>404</v>
      </c>
      <c r="H167" s="135" t="s">
        <v>404</v>
      </c>
      <c r="I167" s="434"/>
      <c r="J167" s="136"/>
      <c r="K167" s="440"/>
      <c r="L167" s="434"/>
      <c r="M167" s="135"/>
      <c r="N167" s="434"/>
      <c r="O167" s="444"/>
      <c r="P167" s="401"/>
      <c r="Q167" s="436"/>
      <c r="R167" s="400"/>
      <c r="S167" s="626"/>
    </row>
    <row r="168" spans="1:19" ht="39.75" x14ac:dyDescent="0.25">
      <c r="A168" s="506"/>
      <c r="B168" s="509"/>
      <c r="C168" s="18"/>
      <c r="D168" s="466" t="s">
        <v>644</v>
      </c>
      <c r="E168" s="18"/>
      <c r="F168" s="18"/>
      <c r="G168" s="18"/>
      <c r="H168" s="18"/>
      <c r="I168" s="18">
        <f>H166</f>
        <v>100</v>
      </c>
      <c r="J168" s="18"/>
      <c r="K168" s="466" t="s">
        <v>644</v>
      </c>
      <c r="L168" s="18"/>
      <c r="M168" s="18"/>
      <c r="N168" s="18"/>
      <c r="O168" s="18"/>
      <c r="P168" s="18">
        <f>O166</f>
        <v>100</v>
      </c>
      <c r="Q168" s="18">
        <f>(I168+P168)/2</f>
        <v>100</v>
      </c>
      <c r="R168" s="18" t="s">
        <v>25</v>
      </c>
      <c r="S168" s="628"/>
    </row>
    <row r="169" spans="1:19" ht="115.5" x14ac:dyDescent="0.25">
      <c r="A169" s="506"/>
      <c r="B169" s="509"/>
      <c r="C169" s="160" t="s">
        <v>140</v>
      </c>
      <c r="D169" s="34" t="s">
        <v>436</v>
      </c>
      <c r="E169" s="432"/>
      <c r="F169" s="66"/>
      <c r="G169" s="436"/>
      <c r="H169" s="436"/>
      <c r="I169" s="436"/>
      <c r="J169" s="130" t="str">
        <f>C169</f>
        <v>VI</v>
      </c>
      <c r="K169" s="34" t="str">
        <f>D169</f>
        <v>Реализация дополнительных образовательных программ спортивной подготовки по олимпийским видам спорта 
Бокс (учебно-тренировочный этап (этап спортивной специализации))</v>
      </c>
      <c r="L169" s="434"/>
      <c r="M169" s="444"/>
      <c r="N169" s="444"/>
      <c r="O169" s="436"/>
      <c r="P169" s="401"/>
      <c r="Q169" s="436"/>
      <c r="R169" s="402"/>
      <c r="S169" s="626"/>
    </row>
    <row r="170" spans="1:19" ht="99" x14ac:dyDescent="0.25">
      <c r="A170" s="506"/>
      <c r="B170" s="509"/>
      <c r="C170" s="139" t="s">
        <v>124</v>
      </c>
      <c r="D170" s="163" t="s">
        <v>407</v>
      </c>
      <c r="E170" s="434" t="s">
        <v>20</v>
      </c>
      <c r="F170" s="135">
        <v>0</v>
      </c>
      <c r="G170" s="135">
        <v>0</v>
      </c>
      <c r="H170" s="444">
        <v>100</v>
      </c>
      <c r="I170" s="436"/>
      <c r="J170" s="136" t="str">
        <f>C170</f>
        <v>4.1.</v>
      </c>
      <c r="K170" s="440" t="s">
        <v>406</v>
      </c>
      <c r="L170" s="434" t="s">
        <v>20</v>
      </c>
      <c r="M170" s="434">
        <v>24</v>
      </c>
      <c r="N170" s="434">
        <v>24</v>
      </c>
      <c r="O170" s="444">
        <f>IF(N170/M170*100&gt;110,110,N170/M170*100)</f>
        <v>100</v>
      </c>
      <c r="P170" s="401"/>
      <c r="Q170" s="436"/>
      <c r="R170" s="400"/>
      <c r="S170" s="626"/>
    </row>
    <row r="171" spans="1:19" ht="181.5" x14ac:dyDescent="0.25">
      <c r="A171" s="506"/>
      <c r="B171" s="509"/>
      <c r="C171" s="139" t="s">
        <v>127</v>
      </c>
      <c r="D171" s="163" t="s">
        <v>405</v>
      </c>
      <c r="E171" s="434" t="s">
        <v>20</v>
      </c>
      <c r="F171" s="434" t="s">
        <v>404</v>
      </c>
      <c r="G171" s="434" t="s">
        <v>404</v>
      </c>
      <c r="H171" s="135" t="s">
        <v>404</v>
      </c>
      <c r="I171" s="434"/>
      <c r="J171" s="136"/>
      <c r="K171" s="440"/>
      <c r="L171" s="434"/>
      <c r="M171" s="434"/>
      <c r="N171" s="434"/>
      <c r="O171" s="444"/>
      <c r="P171" s="401"/>
      <c r="Q171" s="436"/>
      <c r="R171" s="400"/>
      <c r="S171" s="626"/>
    </row>
    <row r="172" spans="1:19" ht="39.75" x14ac:dyDescent="0.25">
      <c r="A172" s="506"/>
      <c r="B172" s="509"/>
      <c r="C172" s="18"/>
      <c r="D172" s="466" t="s">
        <v>644</v>
      </c>
      <c r="E172" s="18"/>
      <c r="F172" s="18"/>
      <c r="G172" s="18"/>
      <c r="H172" s="18"/>
      <c r="I172" s="18">
        <f>H170</f>
        <v>100</v>
      </c>
      <c r="J172" s="18"/>
      <c r="K172" s="466" t="s">
        <v>644</v>
      </c>
      <c r="L172" s="18"/>
      <c r="M172" s="18"/>
      <c r="N172" s="18"/>
      <c r="O172" s="18"/>
      <c r="P172" s="18">
        <f>O170</f>
        <v>100</v>
      </c>
      <c r="Q172" s="18">
        <f>(I172+P172)/2</f>
        <v>100</v>
      </c>
      <c r="R172" s="18" t="s">
        <v>25</v>
      </c>
      <c r="S172" s="628"/>
    </row>
    <row r="173" spans="1:19" ht="99" x14ac:dyDescent="0.25">
      <c r="A173" s="506"/>
      <c r="B173" s="509"/>
      <c r="C173" s="160" t="s">
        <v>129</v>
      </c>
      <c r="D173" s="34" t="s">
        <v>447</v>
      </c>
      <c r="E173" s="432"/>
      <c r="F173" s="66"/>
      <c r="G173" s="436"/>
      <c r="H173" s="436"/>
      <c r="I173" s="436"/>
      <c r="J173" s="130" t="str">
        <f>C173</f>
        <v>V</v>
      </c>
      <c r="K173" s="34" t="str">
        <f>D173</f>
        <v>Реализация дополнительных образовательных программ спортивной подготовки по олимпийским видам спорта 
Бокс (этап совершенствования спортивного мастерства)</v>
      </c>
      <c r="L173" s="434"/>
      <c r="M173" s="138"/>
      <c r="N173" s="138"/>
      <c r="O173" s="436"/>
      <c r="P173" s="401"/>
      <c r="Q173" s="436"/>
      <c r="R173" s="402"/>
      <c r="S173" s="626"/>
    </row>
    <row r="174" spans="1:19" ht="99" x14ac:dyDescent="0.25">
      <c r="A174" s="506"/>
      <c r="B174" s="509"/>
      <c r="C174" s="139" t="s">
        <v>131</v>
      </c>
      <c r="D174" s="163" t="s">
        <v>407</v>
      </c>
      <c r="E174" s="434" t="s">
        <v>20</v>
      </c>
      <c r="F174" s="135">
        <v>0</v>
      </c>
      <c r="G174" s="135">
        <v>0</v>
      </c>
      <c r="H174" s="444">
        <v>100</v>
      </c>
      <c r="I174" s="436"/>
      <c r="J174" s="136" t="str">
        <f>C174</f>
        <v>5.1.</v>
      </c>
      <c r="K174" s="440" t="s">
        <v>406</v>
      </c>
      <c r="L174" s="434" t="s">
        <v>20</v>
      </c>
      <c r="M174" s="434">
        <v>3</v>
      </c>
      <c r="N174" s="434">
        <v>3</v>
      </c>
      <c r="O174" s="444">
        <f>IF(N174/M174*100&gt;110,110,N174/M174*100)</f>
        <v>100</v>
      </c>
      <c r="P174" s="401"/>
      <c r="Q174" s="436"/>
      <c r="R174" s="400"/>
      <c r="S174" s="626"/>
    </row>
    <row r="175" spans="1:19" ht="181.5" x14ac:dyDescent="0.25">
      <c r="A175" s="506"/>
      <c r="B175" s="509"/>
      <c r="C175" s="139" t="s">
        <v>183</v>
      </c>
      <c r="D175" s="163" t="s">
        <v>405</v>
      </c>
      <c r="E175" s="434" t="s">
        <v>20</v>
      </c>
      <c r="F175" s="434" t="s">
        <v>404</v>
      </c>
      <c r="G175" s="434" t="s">
        <v>404</v>
      </c>
      <c r="H175" s="135" t="s">
        <v>404</v>
      </c>
      <c r="I175" s="434"/>
      <c r="J175" s="136"/>
      <c r="K175" s="440"/>
      <c r="L175" s="434"/>
      <c r="M175" s="434"/>
      <c r="N175" s="434"/>
      <c r="O175" s="444"/>
      <c r="P175" s="401"/>
      <c r="Q175" s="436"/>
      <c r="R175" s="400"/>
      <c r="S175" s="626"/>
    </row>
    <row r="176" spans="1:19" ht="39.75" x14ac:dyDescent="0.25">
      <c r="A176" s="506"/>
      <c r="B176" s="509"/>
      <c r="C176" s="18"/>
      <c r="D176" s="466" t="s">
        <v>644</v>
      </c>
      <c r="E176" s="18"/>
      <c r="F176" s="18"/>
      <c r="G176" s="18"/>
      <c r="H176" s="18"/>
      <c r="I176" s="18">
        <f>H174</f>
        <v>100</v>
      </c>
      <c r="J176" s="18"/>
      <c r="K176" s="466" t="s">
        <v>644</v>
      </c>
      <c r="L176" s="18"/>
      <c r="M176" s="18"/>
      <c r="N176" s="18"/>
      <c r="O176" s="18"/>
      <c r="P176" s="18">
        <f>O174</f>
        <v>100</v>
      </c>
      <c r="Q176" s="18">
        <f>(I176+P176)/2</f>
        <v>100</v>
      </c>
      <c r="R176" s="18" t="s">
        <v>25</v>
      </c>
      <c r="S176" s="628"/>
    </row>
    <row r="177" spans="1:21" ht="99" x14ac:dyDescent="0.25">
      <c r="A177" s="506"/>
      <c r="B177" s="509"/>
      <c r="C177" s="160" t="s">
        <v>140</v>
      </c>
      <c r="D177" s="34" t="s">
        <v>446</v>
      </c>
      <c r="E177" s="432"/>
      <c r="F177" s="66"/>
      <c r="G177" s="436"/>
      <c r="H177" s="436"/>
      <c r="I177" s="436"/>
      <c r="J177" s="130" t="str">
        <f>C177</f>
        <v>VI</v>
      </c>
      <c r="K177" s="34" t="str">
        <f>D177</f>
        <v>Реализация дополнительных образовательных программ спортивной подготовки по олимпийским видам спорта 
Спортивная борьба (этап начальной подготовки)</v>
      </c>
      <c r="L177" s="434"/>
      <c r="M177" s="138"/>
      <c r="N177" s="138"/>
      <c r="O177" s="436"/>
      <c r="P177" s="401"/>
      <c r="Q177" s="436"/>
      <c r="R177" s="402"/>
      <c r="S177" s="626"/>
    </row>
    <row r="178" spans="1:21" ht="99" x14ac:dyDescent="0.25">
      <c r="A178" s="506"/>
      <c r="B178" s="509"/>
      <c r="C178" s="139" t="s">
        <v>142</v>
      </c>
      <c r="D178" s="163" t="s">
        <v>407</v>
      </c>
      <c r="E178" s="434" t="s">
        <v>20</v>
      </c>
      <c r="F178" s="135">
        <v>0</v>
      </c>
      <c r="G178" s="135">
        <v>0</v>
      </c>
      <c r="H178" s="444">
        <v>100</v>
      </c>
      <c r="I178" s="436"/>
      <c r="J178" s="136" t="str">
        <f>C178</f>
        <v>6.1.</v>
      </c>
      <c r="K178" s="440" t="s">
        <v>406</v>
      </c>
      <c r="L178" s="434" t="s">
        <v>20</v>
      </c>
      <c r="M178" s="434">
        <v>129</v>
      </c>
      <c r="N178" s="434">
        <v>129</v>
      </c>
      <c r="O178" s="444">
        <f>IF(N178/M178*100&gt;110,110,N178/M178*100)</f>
        <v>100</v>
      </c>
      <c r="P178" s="401"/>
      <c r="Q178" s="436"/>
      <c r="R178" s="400"/>
      <c r="S178" s="626"/>
    </row>
    <row r="179" spans="1:21" ht="181.5" x14ac:dyDescent="0.25">
      <c r="A179" s="506"/>
      <c r="B179" s="509"/>
      <c r="C179" s="139" t="s">
        <v>188</v>
      </c>
      <c r="D179" s="163" t="s">
        <v>405</v>
      </c>
      <c r="E179" s="434" t="s">
        <v>20</v>
      </c>
      <c r="F179" s="434" t="s">
        <v>404</v>
      </c>
      <c r="G179" s="434" t="s">
        <v>404</v>
      </c>
      <c r="H179" s="135" t="s">
        <v>404</v>
      </c>
      <c r="I179" s="434"/>
      <c r="J179" s="136"/>
      <c r="K179" s="440"/>
      <c r="L179" s="434"/>
      <c r="M179" s="434"/>
      <c r="N179" s="434"/>
      <c r="O179" s="444"/>
      <c r="P179" s="401"/>
      <c r="Q179" s="436"/>
      <c r="R179" s="400"/>
      <c r="S179" s="626"/>
    </row>
    <row r="180" spans="1:21" ht="39.75" x14ac:dyDescent="0.25">
      <c r="A180" s="506"/>
      <c r="B180" s="509"/>
      <c r="C180" s="18"/>
      <c r="D180" s="466" t="s">
        <v>644</v>
      </c>
      <c r="E180" s="18"/>
      <c r="F180" s="18"/>
      <c r="G180" s="18"/>
      <c r="H180" s="18"/>
      <c r="I180" s="18">
        <f>H178</f>
        <v>100</v>
      </c>
      <c r="J180" s="18"/>
      <c r="K180" s="466" t="s">
        <v>644</v>
      </c>
      <c r="L180" s="18"/>
      <c r="M180" s="18"/>
      <c r="N180" s="18"/>
      <c r="O180" s="18"/>
      <c r="P180" s="18">
        <f>O178</f>
        <v>100</v>
      </c>
      <c r="Q180" s="18">
        <f>(I180+P180)/2</f>
        <v>100</v>
      </c>
      <c r="R180" s="18" t="s">
        <v>25</v>
      </c>
      <c r="S180" s="628"/>
    </row>
    <row r="181" spans="1:21" ht="115.5" x14ac:dyDescent="0.25">
      <c r="A181" s="506"/>
      <c r="B181" s="509"/>
      <c r="C181" s="160" t="s">
        <v>144</v>
      </c>
      <c r="D181" s="34" t="s">
        <v>445</v>
      </c>
      <c r="E181" s="434"/>
      <c r="F181" s="138"/>
      <c r="G181" s="444"/>
      <c r="H181" s="436"/>
      <c r="I181" s="436"/>
      <c r="J181" s="130" t="str">
        <f>C181</f>
        <v>VII</v>
      </c>
      <c r="K181" s="34" t="str">
        <f>D181</f>
        <v>Реализация дополнительных образовательных программ спортивной подготовки по олимпийским видам спорта 
Спортивная борьба (учебно-тренировочный этап (этап спортивной специализации))</v>
      </c>
      <c r="L181" s="434"/>
      <c r="M181" s="138"/>
      <c r="N181" s="138"/>
      <c r="O181" s="436"/>
      <c r="P181" s="31"/>
      <c r="Q181" s="436"/>
      <c r="R181" s="402"/>
      <c r="S181" s="626"/>
    </row>
    <row r="182" spans="1:21" ht="99" x14ac:dyDescent="0.25">
      <c r="A182" s="506"/>
      <c r="B182" s="509"/>
      <c r="C182" s="139" t="s">
        <v>146</v>
      </c>
      <c r="D182" s="163" t="s">
        <v>407</v>
      </c>
      <c r="E182" s="434" t="s">
        <v>20</v>
      </c>
      <c r="F182" s="135">
        <v>0</v>
      </c>
      <c r="G182" s="135">
        <v>0</v>
      </c>
      <c r="H182" s="444">
        <v>100</v>
      </c>
      <c r="I182" s="436"/>
      <c r="J182" s="136" t="str">
        <f>C182</f>
        <v>7.1.</v>
      </c>
      <c r="K182" s="440" t="s">
        <v>406</v>
      </c>
      <c r="L182" s="434" t="s">
        <v>20</v>
      </c>
      <c r="M182" s="434">
        <v>61</v>
      </c>
      <c r="N182" s="434">
        <v>61</v>
      </c>
      <c r="O182" s="444">
        <f>IF(N182/M182*100&gt;110,110,N182/M182*100)</f>
        <v>100</v>
      </c>
      <c r="P182" s="401"/>
      <c r="Q182" s="436"/>
      <c r="R182" s="400"/>
      <c r="S182" s="626"/>
    </row>
    <row r="183" spans="1:21" ht="181.5" x14ac:dyDescent="0.25">
      <c r="A183" s="506"/>
      <c r="B183" s="509"/>
      <c r="C183" s="139" t="s">
        <v>433</v>
      </c>
      <c r="D183" s="163" t="s">
        <v>405</v>
      </c>
      <c r="E183" s="434" t="s">
        <v>20</v>
      </c>
      <c r="F183" s="434" t="s">
        <v>404</v>
      </c>
      <c r="G183" s="434" t="s">
        <v>404</v>
      </c>
      <c r="H183" s="135" t="s">
        <v>404</v>
      </c>
      <c r="I183" s="434"/>
      <c r="J183" s="136"/>
      <c r="K183" s="440"/>
      <c r="L183" s="434"/>
      <c r="M183" s="434"/>
      <c r="N183" s="434"/>
      <c r="O183" s="444"/>
      <c r="P183" s="401"/>
      <c r="Q183" s="436"/>
      <c r="R183" s="400"/>
      <c r="S183" s="626"/>
    </row>
    <row r="184" spans="1:21" ht="39.75" x14ac:dyDescent="0.25">
      <c r="A184" s="506"/>
      <c r="B184" s="509"/>
      <c r="C184" s="18"/>
      <c r="D184" s="466" t="s">
        <v>644</v>
      </c>
      <c r="E184" s="18"/>
      <c r="F184" s="18"/>
      <c r="G184" s="18"/>
      <c r="H184" s="18"/>
      <c r="I184" s="18">
        <f>H182</f>
        <v>100</v>
      </c>
      <c r="J184" s="18"/>
      <c r="K184" s="466" t="s">
        <v>644</v>
      </c>
      <c r="L184" s="18"/>
      <c r="M184" s="18"/>
      <c r="N184" s="18"/>
      <c r="O184" s="18"/>
      <c r="P184" s="18">
        <f>O182</f>
        <v>100</v>
      </c>
      <c r="Q184" s="18">
        <f>(I184+P184)/2</f>
        <v>100</v>
      </c>
      <c r="R184" s="18" t="s">
        <v>25</v>
      </c>
      <c r="S184" s="628"/>
      <c r="U184" s="315"/>
    </row>
    <row r="185" spans="1:21" ht="99" x14ac:dyDescent="0.25">
      <c r="A185" s="506"/>
      <c r="B185" s="509"/>
      <c r="C185" s="160" t="s">
        <v>147</v>
      </c>
      <c r="D185" s="34" t="s">
        <v>412</v>
      </c>
      <c r="E185" s="432"/>
      <c r="F185" s="66"/>
      <c r="G185" s="436"/>
      <c r="H185" s="436"/>
      <c r="I185" s="436"/>
      <c r="J185" s="130" t="str">
        <f>C185</f>
        <v>VIII</v>
      </c>
      <c r="K185" s="34" t="str">
        <f>D185</f>
        <v>Реализация дополнительных образовательных программ спортивной подготовки по олимпийским видам спорта 
Плавание (этап начальной подготовки)</v>
      </c>
      <c r="L185" s="434"/>
      <c r="M185" s="138"/>
      <c r="N185" s="138"/>
      <c r="O185" s="436"/>
      <c r="P185" s="436"/>
      <c r="Q185" s="436"/>
      <c r="R185" s="137"/>
      <c r="S185" s="628"/>
      <c r="U185" s="315"/>
    </row>
    <row r="186" spans="1:21" ht="99" x14ac:dyDescent="0.25">
      <c r="A186" s="506"/>
      <c r="B186" s="509"/>
      <c r="C186" s="139" t="s">
        <v>149</v>
      </c>
      <c r="D186" s="163" t="s">
        <v>407</v>
      </c>
      <c r="E186" s="434" t="s">
        <v>20</v>
      </c>
      <c r="F186" s="135">
        <v>0</v>
      </c>
      <c r="G186" s="135">
        <v>0</v>
      </c>
      <c r="H186" s="444">
        <v>100</v>
      </c>
      <c r="I186" s="436"/>
      <c r="J186" s="136" t="str">
        <f>C186</f>
        <v>8.1.</v>
      </c>
      <c r="K186" s="440" t="s">
        <v>406</v>
      </c>
      <c r="L186" s="434" t="s">
        <v>20</v>
      </c>
      <c r="M186" s="434">
        <v>62</v>
      </c>
      <c r="N186" s="434">
        <v>62</v>
      </c>
      <c r="O186" s="444">
        <f>IF(N186/M186*100&gt;110,110,N186/M186*100)</f>
        <v>100</v>
      </c>
      <c r="P186" s="436"/>
      <c r="Q186" s="436"/>
      <c r="R186" s="137"/>
      <c r="S186" s="628"/>
      <c r="U186" s="315"/>
    </row>
    <row r="187" spans="1:21" ht="181.5" x14ac:dyDescent="0.25">
      <c r="A187" s="506"/>
      <c r="B187" s="509"/>
      <c r="C187" s="139" t="s">
        <v>429</v>
      </c>
      <c r="D187" s="163" t="s">
        <v>405</v>
      </c>
      <c r="E187" s="434" t="s">
        <v>20</v>
      </c>
      <c r="F187" s="434" t="s">
        <v>404</v>
      </c>
      <c r="G187" s="434" t="s">
        <v>404</v>
      </c>
      <c r="H187" s="135" t="s">
        <v>404</v>
      </c>
      <c r="I187" s="434"/>
      <c r="J187" s="136"/>
      <c r="K187" s="440"/>
      <c r="L187" s="434"/>
      <c r="M187" s="434"/>
      <c r="N187" s="434"/>
      <c r="O187" s="444"/>
      <c r="P187" s="436"/>
      <c r="Q187" s="436"/>
      <c r="R187" s="137"/>
      <c r="S187" s="628"/>
      <c r="U187" s="315"/>
    </row>
    <row r="188" spans="1:21" ht="39.75" x14ac:dyDescent="0.25">
      <c r="A188" s="506"/>
      <c r="B188" s="509"/>
      <c r="C188" s="18"/>
      <c r="D188" s="466" t="s">
        <v>644</v>
      </c>
      <c r="E188" s="18"/>
      <c r="F188" s="18"/>
      <c r="G188" s="18"/>
      <c r="H188" s="18"/>
      <c r="I188" s="18">
        <f>H186</f>
        <v>100</v>
      </c>
      <c r="J188" s="18"/>
      <c r="K188" s="466" t="s">
        <v>644</v>
      </c>
      <c r="L188" s="18"/>
      <c r="M188" s="18"/>
      <c r="N188" s="18"/>
      <c r="O188" s="18"/>
      <c r="P188" s="18">
        <f>O186</f>
        <v>100</v>
      </c>
      <c r="Q188" s="18">
        <f>(I188+P188)/2</f>
        <v>100</v>
      </c>
      <c r="R188" s="18" t="s">
        <v>25</v>
      </c>
      <c r="S188" s="628"/>
      <c r="U188" s="315"/>
    </row>
    <row r="189" spans="1:21" ht="115.5" x14ac:dyDescent="0.25">
      <c r="A189" s="506"/>
      <c r="B189" s="509"/>
      <c r="C189" s="160" t="s">
        <v>150</v>
      </c>
      <c r="D189" s="34" t="s">
        <v>411</v>
      </c>
      <c r="E189" s="434"/>
      <c r="F189" s="138"/>
      <c r="G189" s="444"/>
      <c r="H189" s="436"/>
      <c r="I189" s="436"/>
      <c r="J189" s="130" t="str">
        <f>C189</f>
        <v>IX</v>
      </c>
      <c r="K189" s="34" t="str">
        <f>D189</f>
        <v>Реализация дополнительных образовательных программ спортивной подготовки по олимпийским видам спорта 
Плавание (учебно-тренировочный этап (этап спортивной специализации))</v>
      </c>
      <c r="L189" s="434"/>
      <c r="M189" s="138"/>
      <c r="N189" s="138"/>
      <c r="O189" s="436"/>
      <c r="P189" s="31"/>
      <c r="Q189" s="436"/>
      <c r="R189" s="402"/>
      <c r="S189" s="626"/>
      <c r="U189" s="502"/>
    </row>
    <row r="190" spans="1:21" ht="99" x14ac:dyDescent="0.25">
      <c r="A190" s="506"/>
      <c r="B190" s="509"/>
      <c r="C190" s="139" t="s">
        <v>152</v>
      </c>
      <c r="D190" s="163" t="s">
        <v>407</v>
      </c>
      <c r="E190" s="434" t="s">
        <v>20</v>
      </c>
      <c r="F190" s="135">
        <v>0</v>
      </c>
      <c r="G190" s="135">
        <v>0</v>
      </c>
      <c r="H190" s="444">
        <v>100</v>
      </c>
      <c r="I190" s="436"/>
      <c r="J190" s="136" t="str">
        <f>C190</f>
        <v>9.1.</v>
      </c>
      <c r="K190" s="440" t="s">
        <v>406</v>
      </c>
      <c r="L190" s="434" t="s">
        <v>20</v>
      </c>
      <c r="M190" s="434">
        <v>54</v>
      </c>
      <c r="N190" s="434">
        <v>54</v>
      </c>
      <c r="O190" s="444">
        <f>IF(N190/M190*100&gt;110,110,N190/M190*100)</f>
        <v>100</v>
      </c>
      <c r="P190" s="401"/>
      <c r="Q190" s="436"/>
      <c r="R190" s="400"/>
      <c r="S190" s="626"/>
      <c r="U190" s="501"/>
    </row>
    <row r="191" spans="1:21" ht="181.5" x14ac:dyDescent="0.25">
      <c r="A191" s="506"/>
      <c r="B191" s="509"/>
      <c r="C191" s="139" t="s">
        <v>431</v>
      </c>
      <c r="D191" s="163" t="s">
        <v>405</v>
      </c>
      <c r="E191" s="434" t="s">
        <v>20</v>
      </c>
      <c r="F191" s="434" t="s">
        <v>404</v>
      </c>
      <c r="G191" s="434" t="s">
        <v>404</v>
      </c>
      <c r="H191" s="135" t="s">
        <v>404</v>
      </c>
      <c r="I191" s="434"/>
      <c r="J191" s="136"/>
      <c r="K191" s="440"/>
      <c r="L191" s="434"/>
      <c r="M191" s="434"/>
      <c r="N191" s="434"/>
      <c r="O191" s="444"/>
      <c r="P191" s="401"/>
      <c r="Q191" s="436"/>
      <c r="R191" s="400"/>
      <c r="S191" s="626"/>
      <c r="U191" s="501"/>
    </row>
    <row r="192" spans="1:21" ht="39.75" x14ac:dyDescent="0.25">
      <c r="A192" s="506"/>
      <c r="B192" s="509"/>
      <c r="C192" s="18"/>
      <c r="D192" s="466" t="s">
        <v>644</v>
      </c>
      <c r="E192" s="18"/>
      <c r="F192" s="18"/>
      <c r="G192" s="18"/>
      <c r="H192" s="18"/>
      <c r="I192" s="18">
        <f>H190</f>
        <v>100</v>
      </c>
      <c r="J192" s="18"/>
      <c r="K192" s="466" t="s">
        <v>644</v>
      </c>
      <c r="L192" s="18"/>
      <c r="M192" s="18"/>
      <c r="N192" s="18"/>
      <c r="O192" s="18"/>
      <c r="P192" s="18">
        <f>O190</f>
        <v>100</v>
      </c>
      <c r="Q192" s="18">
        <f>(I192+P192)/2</f>
        <v>100</v>
      </c>
      <c r="R192" s="18" t="s">
        <v>25</v>
      </c>
      <c r="S192" s="628"/>
      <c r="U192" s="315"/>
    </row>
    <row r="193" spans="1:21" ht="67.5" customHeight="1" x14ac:dyDescent="0.25">
      <c r="A193" s="506"/>
      <c r="B193" s="509"/>
      <c r="C193" s="160" t="s">
        <v>277</v>
      </c>
      <c r="D193" s="34" t="s">
        <v>130</v>
      </c>
      <c r="E193" s="434"/>
      <c r="F193" s="135"/>
      <c r="G193" s="444"/>
      <c r="H193" s="436"/>
      <c r="I193" s="436"/>
      <c r="J193" s="160" t="s">
        <v>277</v>
      </c>
      <c r="K193" s="34" t="str">
        <f>D193</f>
        <v>Реализация дополнительных общеразвивающих программ</v>
      </c>
      <c r="L193" s="434"/>
      <c r="M193" s="434"/>
      <c r="N193" s="434"/>
      <c r="O193" s="436"/>
      <c r="P193" s="401"/>
      <c r="Q193" s="436"/>
      <c r="R193" s="406"/>
      <c r="S193" s="626"/>
      <c r="U193" s="502"/>
    </row>
    <row r="194" spans="1:21" x14ac:dyDescent="0.25">
      <c r="A194" s="506"/>
      <c r="B194" s="509"/>
      <c r="C194" s="139" t="s">
        <v>278</v>
      </c>
      <c r="D194" s="440" t="s">
        <v>404</v>
      </c>
      <c r="E194" s="440" t="s">
        <v>404</v>
      </c>
      <c r="F194" s="440" t="s">
        <v>404</v>
      </c>
      <c r="G194" s="440" t="s">
        <v>404</v>
      </c>
      <c r="H194" s="135" t="s">
        <v>404</v>
      </c>
      <c r="I194" s="440"/>
      <c r="J194" s="139" t="s">
        <v>278</v>
      </c>
      <c r="K194" s="161" t="s">
        <v>132</v>
      </c>
      <c r="L194" s="434" t="s">
        <v>414</v>
      </c>
      <c r="M194" s="162">
        <v>47412</v>
      </c>
      <c r="N194" s="162">
        <v>47412</v>
      </c>
      <c r="O194" s="444">
        <f>IF(N194/M194*100&gt;110,110,N194/M194*100)</f>
        <v>100</v>
      </c>
      <c r="P194" s="401"/>
      <c r="Q194" s="436"/>
      <c r="R194" s="400"/>
      <c r="S194" s="626"/>
      <c r="U194" s="501"/>
    </row>
    <row r="195" spans="1:21" ht="39.75" x14ac:dyDescent="0.25">
      <c r="A195" s="506"/>
      <c r="B195" s="509"/>
      <c r="C195" s="18"/>
      <c r="D195" s="466" t="s">
        <v>644</v>
      </c>
      <c r="E195" s="18"/>
      <c r="F195" s="18"/>
      <c r="G195" s="18"/>
      <c r="H195" s="18"/>
      <c r="I195" s="18" t="s">
        <v>245</v>
      </c>
      <c r="J195" s="18"/>
      <c r="K195" s="466" t="s">
        <v>644</v>
      </c>
      <c r="L195" s="18"/>
      <c r="M195" s="18"/>
      <c r="N195" s="18"/>
      <c r="O195" s="18"/>
      <c r="P195" s="18">
        <f>O194</f>
        <v>100</v>
      </c>
      <c r="Q195" s="18">
        <f>P195</f>
        <v>100</v>
      </c>
      <c r="R195" s="18" t="s">
        <v>25</v>
      </c>
      <c r="S195" s="628"/>
      <c r="U195" s="502"/>
    </row>
    <row r="196" spans="1:21" ht="49.5" x14ac:dyDescent="0.25">
      <c r="A196" s="506"/>
      <c r="B196" s="509"/>
      <c r="C196" s="160" t="s">
        <v>279</v>
      </c>
      <c r="D196" s="34" t="s">
        <v>369</v>
      </c>
      <c r="E196" s="432"/>
      <c r="F196" s="66"/>
      <c r="G196" s="436"/>
      <c r="H196" s="436"/>
      <c r="I196" s="436"/>
      <c r="J196" s="130" t="str">
        <f>C196</f>
        <v>XI</v>
      </c>
      <c r="K196" s="34" t="str">
        <f>D196</f>
        <v>Организация мероприятий по подготовке спортивных сборных команд</v>
      </c>
      <c r="L196" s="434"/>
      <c r="M196" s="434"/>
      <c r="N196" s="434"/>
      <c r="O196" s="436"/>
      <c r="P196" s="401"/>
      <c r="Q196" s="436"/>
      <c r="R196" s="406"/>
      <c r="S196" s="626"/>
      <c r="U196" s="501"/>
    </row>
    <row r="197" spans="1:21" ht="79.5" customHeight="1" x14ac:dyDescent="0.25">
      <c r="A197" s="506"/>
      <c r="B197" s="509"/>
      <c r="C197" s="139" t="s">
        <v>280</v>
      </c>
      <c r="D197" s="440" t="s">
        <v>403</v>
      </c>
      <c r="E197" s="434" t="s">
        <v>18</v>
      </c>
      <c r="F197" s="135">
        <v>5</v>
      </c>
      <c r="G197" s="444">
        <v>19.600000000000001</v>
      </c>
      <c r="H197" s="444">
        <f>IF(G197/F197*100&gt;100,100,G197/F197*100)</f>
        <v>100</v>
      </c>
      <c r="I197" s="436"/>
      <c r="J197" s="136" t="str">
        <f>C197</f>
        <v>11.1.</v>
      </c>
      <c r="K197" s="440" t="s">
        <v>367</v>
      </c>
      <c r="L197" s="434" t="s">
        <v>20</v>
      </c>
      <c r="M197" s="434">
        <v>130</v>
      </c>
      <c r="N197" s="434">
        <v>139</v>
      </c>
      <c r="O197" s="444">
        <f>IF(N197/M197*100&gt;110,110,N197/M197*100)</f>
        <v>106.92307692307692</v>
      </c>
      <c r="P197" s="401"/>
      <c r="Q197" s="436"/>
      <c r="R197" s="400"/>
      <c r="S197" s="626"/>
    </row>
    <row r="198" spans="1:21" ht="39.75" x14ac:dyDescent="0.25">
      <c r="A198" s="507"/>
      <c r="B198" s="510"/>
      <c r="C198" s="18"/>
      <c r="D198" s="466" t="s">
        <v>644</v>
      </c>
      <c r="E198" s="18"/>
      <c r="F198" s="18"/>
      <c r="G198" s="18"/>
      <c r="H198" s="18"/>
      <c r="I198" s="18">
        <f>H197</f>
        <v>100</v>
      </c>
      <c r="J198" s="18"/>
      <c r="K198" s="466" t="s">
        <v>644</v>
      </c>
      <c r="L198" s="18"/>
      <c r="M198" s="18"/>
      <c r="N198" s="18"/>
      <c r="O198" s="18"/>
      <c r="P198" s="18">
        <f>O197</f>
        <v>106.92307692307692</v>
      </c>
      <c r="Q198" s="18">
        <f>(I198+P198)/2</f>
        <v>103.46153846153845</v>
      </c>
      <c r="R198" s="18" t="s">
        <v>25</v>
      </c>
      <c r="S198" s="628"/>
    </row>
    <row r="199" spans="1:21" ht="99" x14ac:dyDescent="0.25">
      <c r="A199" s="506"/>
      <c r="B199" s="509" t="s">
        <v>438</v>
      </c>
      <c r="C199" s="432" t="s">
        <v>13</v>
      </c>
      <c r="D199" s="34" t="s">
        <v>437</v>
      </c>
      <c r="E199" s="434"/>
      <c r="F199" s="135"/>
      <c r="G199" s="444"/>
      <c r="H199" s="436"/>
      <c r="I199" s="436"/>
      <c r="J199" s="432" t="s">
        <v>13</v>
      </c>
      <c r="K199" s="34" t="str">
        <f>D199</f>
        <v>Реализация дополнительных образовательных программ спортивной подготовки по олимпийским видам спорта 
Бокс (этап начальной подготовки)</v>
      </c>
      <c r="L199" s="434"/>
      <c r="M199" s="138"/>
      <c r="N199" s="138"/>
      <c r="O199" s="436"/>
      <c r="P199" s="31"/>
      <c r="Q199" s="436"/>
      <c r="R199" s="402"/>
      <c r="S199" s="623" t="s">
        <v>15</v>
      </c>
    </row>
    <row r="200" spans="1:21" ht="99" x14ac:dyDescent="0.25">
      <c r="A200" s="506"/>
      <c r="B200" s="509"/>
      <c r="C200" s="139" t="s">
        <v>16</v>
      </c>
      <c r="D200" s="163" t="s">
        <v>407</v>
      </c>
      <c r="E200" s="434" t="s">
        <v>20</v>
      </c>
      <c r="F200" s="135">
        <v>0</v>
      </c>
      <c r="G200" s="135">
        <v>0</v>
      </c>
      <c r="H200" s="444">
        <v>100</v>
      </c>
      <c r="I200" s="436"/>
      <c r="J200" s="139" t="s">
        <v>16</v>
      </c>
      <c r="K200" s="440" t="s">
        <v>406</v>
      </c>
      <c r="L200" s="434" t="s">
        <v>20</v>
      </c>
      <c r="M200" s="434">
        <v>15</v>
      </c>
      <c r="N200" s="434">
        <v>15</v>
      </c>
      <c r="O200" s="444">
        <f>IF(N200/M200*100&gt;110,110,N200/M200*100)</f>
        <v>100</v>
      </c>
      <c r="P200" s="401"/>
      <c r="Q200" s="436"/>
      <c r="R200" s="400"/>
      <c r="S200" s="623"/>
    </row>
    <row r="201" spans="1:21" ht="181.5" customHeight="1" x14ac:dyDescent="0.25">
      <c r="A201" s="506"/>
      <c r="B201" s="509"/>
      <c r="C201" s="139" t="s">
        <v>21</v>
      </c>
      <c r="D201" s="163" t="s">
        <v>405</v>
      </c>
      <c r="E201" s="434" t="s">
        <v>20</v>
      </c>
      <c r="F201" s="434" t="s">
        <v>404</v>
      </c>
      <c r="G201" s="434" t="s">
        <v>404</v>
      </c>
      <c r="H201" s="135" t="s">
        <v>404</v>
      </c>
      <c r="I201" s="434"/>
      <c r="J201" s="136"/>
      <c r="K201" s="440"/>
      <c r="L201" s="434"/>
      <c r="M201" s="434"/>
      <c r="N201" s="434"/>
      <c r="O201" s="444"/>
      <c r="P201" s="401"/>
      <c r="Q201" s="436"/>
      <c r="R201" s="400"/>
      <c r="S201" s="623"/>
    </row>
    <row r="202" spans="1:21" ht="39.75" x14ac:dyDescent="0.25">
      <c r="A202" s="506"/>
      <c r="B202" s="509"/>
      <c r="C202" s="18"/>
      <c r="D202" s="466" t="s">
        <v>644</v>
      </c>
      <c r="E202" s="18"/>
      <c r="F202" s="18"/>
      <c r="G202" s="18"/>
      <c r="H202" s="18"/>
      <c r="I202" s="18">
        <f>H200</f>
        <v>100</v>
      </c>
      <c r="J202" s="18"/>
      <c r="K202" s="466" t="s">
        <v>644</v>
      </c>
      <c r="L202" s="18"/>
      <c r="M202" s="18"/>
      <c r="N202" s="18"/>
      <c r="O202" s="18"/>
      <c r="P202" s="18">
        <f>O200</f>
        <v>100</v>
      </c>
      <c r="Q202" s="18">
        <f>(I202+P202)/2</f>
        <v>100</v>
      </c>
      <c r="R202" s="18" t="s">
        <v>25</v>
      </c>
      <c r="S202" s="623"/>
      <c r="U202" s="315"/>
    </row>
    <row r="203" spans="1:21" ht="115.5" x14ac:dyDescent="0.25">
      <c r="A203" s="506"/>
      <c r="B203" s="509"/>
      <c r="C203" s="432" t="s">
        <v>26</v>
      </c>
      <c r="D203" s="34" t="s">
        <v>436</v>
      </c>
      <c r="E203" s="432"/>
      <c r="F203" s="66"/>
      <c r="G203" s="436"/>
      <c r="H203" s="436"/>
      <c r="I203" s="436"/>
      <c r="J203" s="432" t="s">
        <v>26</v>
      </c>
      <c r="K203" s="34" t="str">
        <f>D203</f>
        <v>Реализация дополнительных образовательных программ спортивной подготовки по олимпийским видам спорта 
Бокс (учебно-тренировочный этап (этап спортивной специализации))</v>
      </c>
      <c r="L203" s="434"/>
      <c r="M203" s="444"/>
      <c r="N203" s="444"/>
      <c r="O203" s="436"/>
      <c r="P203" s="401"/>
      <c r="Q203" s="436"/>
      <c r="R203" s="402"/>
      <c r="S203" s="623"/>
    </row>
    <row r="204" spans="1:21" s="315" customFormat="1" ht="99" x14ac:dyDescent="0.25">
      <c r="A204" s="506"/>
      <c r="B204" s="509"/>
      <c r="C204" s="139" t="s">
        <v>28</v>
      </c>
      <c r="D204" s="163" t="s">
        <v>407</v>
      </c>
      <c r="E204" s="434" t="s">
        <v>20</v>
      </c>
      <c r="F204" s="135">
        <v>0</v>
      </c>
      <c r="G204" s="135">
        <v>0</v>
      </c>
      <c r="H204" s="444">
        <v>100</v>
      </c>
      <c r="I204" s="436"/>
      <c r="J204" s="139" t="s">
        <v>28</v>
      </c>
      <c r="K204" s="440" t="s">
        <v>406</v>
      </c>
      <c r="L204" s="434" t="s">
        <v>20</v>
      </c>
      <c r="M204" s="434">
        <v>22</v>
      </c>
      <c r="N204" s="434">
        <v>22</v>
      </c>
      <c r="O204" s="444">
        <f>IF(N204/M204*100&gt;110,110,N204/M204*100)</f>
        <v>100</v>
      </c>
      <c r="P204" s="401"/>
      <c r="Q204" s="436"/>
      <c r="R204" s="400"/>
      <c r="S204" s="623"/>
    </row>
    <row r="205" spans="1:21" s="315" customFormat="1" ht="181.5" customHeight="1" x14ac:dyDescent="0.25">
      <c r="A205" s="506"/>
      <c r="B205" s="509"/>
      <c r="C205" s="139" t="s">
        <v>30</v>
      </c>
      <c r="D205" s="163" t="s">
        <v>405</v>
      </c>
      <c r="E205" s="434" t="s">
        <v>20</v>
      </c>
      <c r="F205" s="434" t="s">
        <v>404</v>
      </c>
      <c r="G205" s="434" t="s">
        <v>404</v>
      </c>
      <c r="H205" s="135" t="s">
        <v>404</v>
      </c>
      <c r="I205" s="434"/>
      <c r="J205" s="136"/>
      <c r="K205" s="440"/>
      <c r="L205" s="434"/>
      <c r="M205" s="434"/>
      <c r="N205" s="434"/>
      <c r="O205" s="444"/>
      <c r="P205" s="401"/>
      <c r="Q205" s="436"/>
      <c r="R205" s="400"/>
      <c r="S205" s="623"/>
    </row>
    <row r="206" spans="1:21" ht="39.75" x14ac:dyDescent="0.25">
      <c r="A206" s="506"/>
      <c r="B206" s="509"/>
      <c r="C206" s="18"/>
      <c r="D206" s="466" t="s">
        <v>644</v>
      </c>
      <c r="E206" s="18"/>
      <c r="F206" s="18"/>
      <c r="G206" s="18"/>
      <c r="H206" s="18"/>
      <c r="I206" s="18">
        <f>H204</f>
        <v>100</v>
      </c>
      <c r="J206" s="18"/>
      <c r="K206" s="466" t="s">
        <v>644</v>
      </c>
      <c r="L206" s="18"/>
      <c r="M206" s="18"/>
      <c r="N206" s="18"/>
      <c r="O206" s="18"/>
      <c r="P206" s="18">
        <f>O204</f>
        <v>100</v>
      </c>
      <c r="Q206" s="18">
        <f>(I206+P206)/2</f>
        <v>100</v>
      </c>
      <c r="R206" s="18" t="s">
        <v>25</v>
      </c>
      <c r="S206" s="623"/>
      <c r="U206" s="315"/>
    </row>
    <row r="207" spans="1:21" s="315" customFormat="1" ht="99" x14ac:dyDescent="0.25">
      <c r="A207" s="506"/>
      <c r="B207" s="509"/>
      <c r="C207" s="432" t="s">
        <v>36</v>
      </c>
      <c r="D207" s="34" t="s">
        <v>435</v>
      </c>
      <c r="E207" s="432"/>
      <c r="F207" s="66"/>
      <c r="G207" s="436"/>
      <c r="H207" s="436"/>
      <c r="I207" s="436"/>
      <c r="J207" s="130" t="s">
        <v>36</v>
      </c>
      <c r="K207" s="34" t="str">
        <f>D207</f>
        <v>Реализация дополнительных образовательных программ спортивной подготовки по олимпийским видам спорта 
Дзюдо (этап начальной подготовки)</v>
      </c>
      <c r="L207" s="434"/>
      <c r="M207" s="444"/>
      <c r="N207" s="444"/>
      <c r="O207" s="436"/>
      <c r="P207" s="401"/>
      <c r="Q207" s="436"/>
      <c r="R207" s="402"/>
      <c r="S207" s="623"/>
    </row>
    <row r="208" spans="1:21" s="315" customFormat="1" ht="99" x14ac:dyDescent="0.25">
      <c r="A208" s="506"/>
      <c r="B208" s="509"/>
      <c r="C208" s="139" t="s">
        <v>38</v>
      </c>
      <c r="D208" s="163" t="s">
        <v>407</v>
      </c>
      <c r="E208" s="434" t="s">
        <v>20</v>
      </c>
      <c r="F208" s="135">
        <v>0</v>
      </c>
      <c r="G208" s="135">
        <v>0</v>
      </c>
      <c r="H208" s="444">
        <v>100</v>
      </c>
      <c r="I208" s="436"/>
      <c r="J208" s="136" t="s">
        <v>38</v>
      </c>
      <c r="K208" s="440" t="s">
        <v>406</v>
      </c>
      <c r="L208" s="434" t="s">
        <v>20</v>
      </c>
      <c r="M208" s="434">
        <v>33</v>
      </c>
      <c r="N208" s="434">
        <v>33</v>
      </c>
      <c r="O208" s="444">
        <f>IF(N208/M208*100&gt;110,110,N208/M208*100)</f>
        <v>100</v>
      </c>
      <c r="P208" s="401"/>
      <c r="Q208" s="436"/>
      <c r="R208" s="400"/>
      <c r="S208" s="623"/>
    </row>
    <row r="209" spans="1:21" s="315" customFormat="1" ht="181.5" customHeight="1" x14ac:dyDescent="0.25">
      <c r="A209" s="506"/>
      <c r="B209" s="509"/>
      <c r="C209" s="139" t="s">
        <v>118</v>
      </c>
      <c r="D209" s="163" t="s">
        <v>405</v>
      </c>
      <c r="E209" s="434" t="s">
        <v>20</v>
      </c>
      <c r="F209" s="434" t="s">
        <v>404</v>
      </c>
      <c r="G209" s="434" t="s">
        <v>404</v>
      </c>
      <c r="H209" s="135" t="s">
        <v>404</v>
      </c>
      <c r="I209" s="434"/>
      <c r="J209" s="136"/>
      <c r="K209" s="440"/>
      <c r="L209" s="434"/>
      <c r="M209" s="434"/>
      <c r="N209" s="434"/>
      <c r="O209" s="444"/>
      <c r="P209" s="401"/>
      <c r="Q209" s="436"/>
      <c r="R209" s="400"/>
      <c r="S209" s="623"/>
    </row>
    <row r="210" spans="1:21" ht="39.75" x14ac:dyDescent="0.25">
      <c r="A210" s="506"/>
      <c r="B210" s="509"/>
      <c r="C210" s="18"/>
      <c r="D210" s="466" t="s">
        <v>644</v>
      </c>
      <c r="E210" s="18"/>
      <c r="F210" s="18"/>
      <c r="G210" s="18"/>
      <c r="H210" s="18"/>
      <c r="I210" s="18">
        <f>H208</f>
        <v>100</v>
      </c>
      <c r="J210" s="18"/>
      <c r="K210" s="466" t="s">
        <v>644</v>
      </c>
      <c r="L210" s="18"/>
      <c r="M210" s="18"/>
      <c r="N210" s="18"/>
      <c r="O210" s="18"/>
      <c r="P210" s="18">
        <f>O208</f>
        <v>100</v>
      </c>
      <c r="Q210" s="18">
        <f>(I210+P210)/2</f>
        <v>100</v>
      </c>
      <c r="R210" s="18" t="s">
        <v>25</v>
      </c>
      <c r="S210" s="623"/>
      <c r="U210" s="315"/>
    </row>
    <row r="211" spans="1:21" s="315" customFormat="1" ht="115.5" x14ac:dyDescent="0.25">
      <c r="A211" s="506"/>
      <c r="B211" s="509"/>
      <c r="C211" s="160" t="s">
        <v>123</v>
      </c>
      <c r="D211" s="34" t="s">
        <v>434</v>
      </c>
      <c r="E211" s="432"/>
      <c r="F211" s="66"/>
      <c r="G211" s="436"/>
      <c r="H211" s="436"/>
      <c r="I211" s="436"/>
      <c r="J211" s="160" t="s">
        <v>123</v>
      </c>
      <c r="K211" s="34" t="str">
        <f>D211</f>
        <v>Реализация дополнительных образовательных программ спортивной подготовки по олимпийским видам спорта 
Дзюдо (учебно-тренировочный этап (этап спортивной специализации))</v>
      </c>
      <c r="L211" s="434"/>
      <c r="M211" s="444"/>
      <c r="N211" s="444"/>
      <c r="O211" s="436"/>
      <c r="P211" s="401"/>
      <c r="Q211" s="436"/>
      <c r="R211" s="402"/>
      <c r="S211" s="623"/>
    </row>
    <row r="212" spans="1:21" s="315" customFormat="1" ht="99" x14ac:dyDescent="0.25">
      <c r="A212" s="506"/>
      <c r="B212" s="509"/>
      <c r="C212" s="139" t="s">
        <v>124</v>
      </c>
      <c r="D212" s="163" t="s">
        <v>407</v>
      </c>
      <c r="E212" s="434" t="s">
        <v>20</v>
      </c>
      <c r="F212" s="135">
        <v>0</v>
      </c>
      <c r="G212" s="135">
        <v>0</v>
      </c>
      <c r="H212" s="444">
        <v>100</v>
      </c>
      <c r="I212" s="436"/>
      <c r="J212" s="139" t="s">
        <v>124</v>
      </c>
      <c r="K212" s="440" t="s">
        <v>406</v>
      </c>
      <c r="L212" s="434" t="s">
        <v>20</v>
      </c>
      <c r="M212" s="434">
        <v>43</v>
      </c>
      <c r="N212" s="434">
        <v>43</v>
      </c>
      <c r="O212" s="444">
        <f>IF(N212/M212*100&gt;110,110,N212/M212*100)</f>
        <v>100</v>
      </c>
      <c r="P212" s="401"/>
      <c r="Q212" s="436"/>
      <c r="R212" s="400"/>
      <c r="S212" s="623"/>
    </row>
    <row r="213" spans="1:21" s="315" customFormat="1" ht="181.5" customHeight="1" x14ac:dyDescent="0.25">
      <c r="A213" s="506"/>
      <c r="B213" s="509"/>
      <c r="C213" s="139" t="s">
        <v>127</v>
      </c>
      <c r="D213" s="163" t="s">
        <v>405</v>
      </c>
      <c r="E213" s="434" t="s">
        <v>20</v>
      </c>
      <c r="F213" s="434" t="s">
        <v>404</v>
      </c>
      <c r="G213" s="434" t="s">
        <v>404</v>
      </c>
      <c r="H213" s="135" t="s">
        <v>404</v>
      </c>
      <c r="I213" s="434"/>
      <c r="J213" s="136"/>
      <c r="K213" s="440"/>
      <c r="L213" s="434"/>
      <c r="M213" s="434"/>
      <c r="N213" s="434"/>
      <c r="O213" s="444"/>
      <c r="P213" s="401"/>
      <c r="Q213" s="436"/>
      <c r="R213" s="400"/>
      <c r="S213" s="623"/>
    </row>
    <row r="214" spans="1:21" ht="39.75" x14ac:dyDescent="0.25">
      <c r="A214" s="506"/>
      <c r="B214" s="509"/>
      <c r="C214" s="18"/>
      <c r="D214" s="466" t="s">
        <v>644</v>
      </c>
      <c r="E214" s="18"/>
      <c r="F214" s="18"/>
      <c r="G214" s="18"/>
      <c r="H214" s="18"/>
      <c r="I214" s="18">
        <f>H212</f>
        <v>100</v>
      </c>
      <c r="J214" s="18"/>
      <c r="K214" s="466" t="s">
        <v>644</v>
      </c>
      <c r="L214" s="18"/>
      <c r="M214" s="18"/>
      <c r="N214" s="18"/>
      <c r="O214" s="18"/>
      <c r="P214" s="18">
        <f>O212</f>
        <v>100</v>
      </c>
      <c r="Q214" s="18">
        <f>(I214+P214)/2</f>
        <v>100</v>
      </c>
      <c r="R214" s="18" t="s">
        <v>25</v>
      </c>
      <c r="S214" s="623"/>
      <c r="U214" s="315"/>
    </row>
    <row r="215" spans="1:21" ht="99" x14ac:dyDescent="0.25">
      <c r="A215" s="506"/>
      <c r="B215" s="509"/>
      <c r="C215" s="160" t="s">
        <v>129</v>
      </c>
      <c r="D215" s="34" t="s">
        <v>412</v>
      </c>
      <c r="E215" s="434"/>
      <c r="F215" s="135"/>
      <c r="G215" s="444"/>
      <c r="H215" s="436"/>
      <c r="I215" s="436"/>
      <c r="J215" s="160" t="s">
        <v>129</v>
      </c>
      <c r="K215" s="34" t="str">
        <f>D215</f>
        <v>Реализация дополнительных образовательных программ спортивной подготовки по олимпийским видам спорта 
Плавание (этап начальной подготовки)</v>
      </c>
      <c r="L215" s="434"/>
      <c r="M215" s="138"/>
      <c r="N215" s="138"/>
      <c r="O215" s="436"/>
      <c r="P215" s="436"/>
      <c r="Q215" s="436"/>
      <c r="R215" s="137"/>
      <c r="S215" s="623"/>
      <c r="U215" s="315"/>
    </row>
    <row r="216" spans="1:21" ht="99" x14ac:dyDescent="0.25">
      <c r="A216" s="506"/>
      <c r="B216" s="509"/>
      <c r="C216" s="139" t="s">
        <v>131</v>
      </c>
      <c r="D216" s="163" t="s">
        <v>407</v>
      </c>
      <c r="E216" s="434" t="s">
        <v>20</v>
      </c>
      <c r="F216" s="135">
        <v>0</v>
      </c>
      <c r="G216" s="135">
        <v>0</v>
      </c>
      <c r="H216" s="444">
        <v>100</v>
      </c>
      <c r="I216" s="436"/>
      <c r="J216" s="139" t="s">
        <v>131</v>
      </c>
      <c r="K216" s="440" t="s">
        <v>406</v>
      </c>
      <c r="L216" s="434" t="s">
        <v>20</v>
      </c>
      <c r="M216" s="434">
        <v>14</v>
      </c>
      <c r="N216" s="434">
        <v>14</v>
      </c>
      <c r="O216" s="444">
        <f>IF(N216/M216*100&gt;110,110,N216/M216*100)</f>
        <v>100</v>
      </c>
      <c r="P216" s="436"/>
      <c r="Q216" s="436"/>
      <c r="R216" s="137"/>
      <c r="S216" s="623"/>
      <c r="U216" s="315"/>
    </row>
    <row r="217" spans="1:21" ht="181.5" customHeight="1" x14ac:dyDescent="0.25">
      <c r="A217" s="506"/>
      <c r="B217" s="509"/>
      <c r="C217" s="139" t="s">
        <v>183</v>
      </c>
      <c r="D217" s="163" t="s">
        <v>405</v>
      </c>
      <c r="E217" s="434" t="s">
        <v>20</v>
      </c>
      <c r="F217" s="434" t="s">
        <v>404</v>
      </c>
      <c r="G217" s="434" t="s">
        <v>404</v>
      </c>
      <c r="H217" s="135" t="s">
        <v>404</v>
      </c>
      <c r="I217" s="434"/>
      <c r="J217" s="136"/>
      <c r="K217" s="440"/>
      <c r="L217" s="434"/>
      <c r="M217" s="434"/>
      <c r="N217" s="434"/>
      <c r="O217" s="444"/>
      <c r="P217" s="436"/>
      <c r="Q217" s="436"/>
      <c r="R217" s="137"/>
      <c r="S217" s="623"/>
      <c r="U217" s="315"/>
    </row>
    <row r="218" spans="1:21" ht="39.75" x14ac:dyDescent="0.25">
      <c r="A218" s="506"/>
      <c r="B218" s="509"/>
      <c r="C218" s="18"/>
      <c r="D218" s="466" t="s">
        <v>644</v>
      </c>
      <c r="E218" s="18"/>
      <c r="F218" s="18"/>
      <c r="G218" s="18"/>
      <c r="H218" s="18"/>
      <c r="I218" s="18">
        <f>H216</f>
        <v>100</v>
      </c>
      <c r="J218" s="18"/>
      <c r="K218" s="466" t="s">
        <v>644</v>
      </c>
      <c r="L218" s="18"/>
      <c r="M218" s="18"/>
      <c r="N218" s="18"/>
      <c r="O218" s="18"/>
      <c r="P218" s="18">
        <f>O216</f>
        <v>100</v>
      </c>
      <c r="Q218" s="18">
        <f>(I218+P218)/2</f>
        <v>100</v>
      </c>
      <c r="R218" s="18" t="s">
        <v>25</v>
      </c>
      <c r="S218" s="623"/>
      <c r="U218" s="315"/>
    </row>
    <row r="219" spans="1:21" s="315" customFormat="1" ht="115.5" x14ac:dyDescent="0.25">
      <c r="A219" s="506"/>
      <c r="B219" s="509"/>
      <c r="C219" s="160" t="s">
        <v>140</v>
      </c>
      <c r="D219" s="34" t="s">
        <v>411</v>
      </c>
      <c r="E219" s="432"/>
      <c r="F219" s="66"/>
      <c r="G219" s="436"/>
      <c r="H219" s="436"/>
      <c r="I219" s="436"/>
      <c r="J219" s="130" t="s">
        <v>144</v>
      </c>
      <c r="K219" s="34" t="str">
        <f>D219</f>
        <v>Реализация дополнительных образовательных программ спортивной подготовки по олимпийским видам спорта 
Плавание (учебно-тренировочный этап (этап спортивной специализации))</v>
      </c>
      <c r="L219" s="434"/>
      <c r="M219" s="138"/>
      <c r="N219" s="138"/>
      <c r="O219" s="436"/>
      <c r="P219" s="401"/>
      <c r="Q219" s="436"/>
      <c r="R219" s="402"/>
      <c r="S219" s="623"/>
    </row>
    <row r="220" spans="1:21" s="315" customFormat="1" ht="99" x14ac:dyDescent="0.25">
      <c r="A220" s="506"/>
      <c r="B220" s="509"/>
      <c r="C220" s="139" t="s">
        <v>142</v>
      </c>
      <c r="D220" s="163" t="s">
        <v>407</v>
      </c>
      <c r="E220" s="434" t="s">
        <v>20</v>
      </c>
      <c r="F220" s="135">
        <v>0</v>
      </c>
      <c r="G220" s="135">
        <v>0</v>
      </c>
      <c r="H220" s="444">
        <v>100</v>
      </c>
      <c r="I220" s="436"/>
      <c r="J220" s="136" t="s">
        <v>142</v>
      </c>
      <c r="K220" s="440" t="s">
        <v>406</v>
      </c>
      <c r="L220" s="434" t="s">
        <v>20</v>
      </c>
      <c r="M220" s="434">
        <v>12</v>
      </c>
      <c r="N220" s="434">
        <v>12</v>
      </c>
      <c r="O220" s="444">
        <f>IF(N220/M220*100&gt;110,110,N220/M220*100)</f>
        <v>100</v>
      </c>
      <c r="P220" s="401"/>
      <c r="Q220" s="436"/>
      <c r="R220" s="400"/>
      <c r="S220" s="623"/>
    </row>
    <row r="221" spans="1:21" s="315" customFormat="1" ht="181.5" customHeight="1" x14ac:dyDescent="0.25">
      <c r="A221" s="506"/>
      <c r="B221" s="509"/>
      <c r="C221" s="139" t="s">
        <v>188</v>
      </c>
      <c r="D221" s="163" t="s">
        <v>405</v>
      </c>
      <c r="E221" s="434" t="s">
        <v>20</v>
      </c>
      <c r="F221" s="434" t="s">
        <v>404</v>
      </c>
      <c r="G221" s="434" t="s">
        <v>404</v>
      </c>
      <c r="H221" s="135" t="s">
        <v>404</v>
      </c>
      <c r="I221" s="434"/>
      <c r="J221" s="136"/>
      <c r="K221" s="440"/>
      <c r="L221" s="434"/>
      <c r="M221" s="434"/>
      <c r="N221" s="434"/>
      <c r="O221" s="444"/>
      <c r="P221" s="401"/>
      <c r="Q221" s="436"/>
      <c r="R221" s="400"/>
      <c r="S221" s="623"/>
    </row>
    <row r="222" spans="1:21" ht="39.75" x14ac:dyDescent="0.25">
      <c r="A222" s="506"/>
      <c r="B222" s="509"/>
      <c r="C222" s="18"/>
      <c r="D222" s="466" t="s">
        <v>644</v>
      </c>
      <c r="E222" s="18"/>
      <c r="F222" s="18"/>
      <c r="G222" s="18"/>
      <c r="H222" s="18"/>
      <c r="I222" s="18">
        <f>H220</f>
        <v>100</v>
      </c>
      <c r="J222" s="18"/>
      <c r="K222" s="466" t="s">
        <v>644</v>
      </c>
      <c r="L222" s="18"/>
      <c r="M222" s="18"/>
      <c r="N222" s="18"/>
      <c r="O222" s="18"/>
      <c r="P222" s="18">
        <f>O220</f>
        <v>100</v>
      </c>
      <c r="Q222" s="18">
        <f>(I222+P222)/2</f>
        <v>100</v>
      </c>
      <c r="R222" s="18" t="s">
        <v>25</v>
      </c>
      <c r="S222" s="623"/>
      <c r="U222" s="315"/>
    </row>
    <row r="223" spans="1:21" s="315" customFormat="1" ht="99" customHeight="1" x14ac:dyDescent="0.25">
      <c r="A223" s="506"/>
      <c r="B223" s="509"/>
      <c r="C223" s="160" t="s">
        <v>144</v>
      </c>
      <c r="D223" s="34" t="s">
        <v>432</v>
      </c>
      <c r="E223" s="432"/>
      <c r="F223" s="66"/>
      <c r="G223" s="436"/>
      <c r="H223" s="436"/>
      <c r="I223" s="436"/>
      <c r="J223" s="160" t="s">
        <v>144</v>
      </c>
      <c r="K223" s="34" t="str">
        <f>D223</f>
        <v>Реализация дополнительных образовательных программ спортивной подготовки по неолимпийским видам спорта 
Пауэрлифтинг (этап начальной подготовки)</v>
      </c>
      <c r="L223" s="434"/>
      <c r="M223" s="138"/>
      <c r="N223" s="138"/>
      <c r="O223" s="436"/>
      <c r="P223" s="401"/>
      <c r="Q223" s="436"/>
      <c r="R223" s="402"/>
      <c r="S223" s="623"/>
    </row>
    <row r="224" spans="1:21" s="315" customFormat="1" ht="99" x14ac:dyDescent="0.25">
      <c r="A224" s="506"/>
      <c r="B224" s="509"/>
      <c r="C224" s="139" t="s">
        <v>146</v>
      </c>
      <c r="D224" s="163" t="s">
        <v>407</v>
      </c>
      <c r="E224" s="434" t="s">
        <v>20</v>
      </c>
      <c r="F224" s="135">
        <v>0</v>
      </c>
      <c r="G224" s="135">
        <v>0</v>
      </c>
      <c r="H224" s="444">
        <v>100</v>
      </c>
      <c r="I224" s="436"/>
      <c r="J224" s="139" t="s">
        <v>146</v>
      </c>
      <c r="K224" s="440" t="s">
        <v>406</v>
      </c>
      <c r="L224" s="434" t="s">
        <v>20</v>
      </c>
      <c r="M224" s="434">
        <v>15</v>
      </c>
      <c r="N224" s="434">
        <v>15</v>
      </c>
      <c r="O224" s="444">
        <f>IF(N224/M224*100&gt;110,110,N224/M224*100)</f>
        <v>100</v>
      </c>
      <c r="P224" s="401"/>
      <c r="Q224" s="436"/>
      <c r="R224" s="400"/>
      <c r="S224" s="623"/>
    </row>
    <row r="225" spans="1:21" s="315" customFormat="1" ht="181.5" customHeight="1" x14ac:dyDescent="0.25">
      <c r="A225" s="506"/>
      <c r="B225" s="509"/>
      <c r="C225" s="139" t="s">
        <v>433</v>
      </c>
      <c r="D225" s="163" t="s">
        <v>405</v>
      </c>
      <c r="E225" s="434" t="s">
        <v>20</v>
      </c>
      <c r="F225" s="434" t="s">
        <v>404</v>
      </c>
      <c r="G225" s="434" t="s">
        <v>404</v>
      </c>
      <c r="H225" s="135" t="s">
        <v>404</v>
      </c>
      <c r="I225" s="434"/>
      <c r="J225" s="136"/>
      <c r="K225" s="440"/>
      <c r="L225" s="434"/>
      <c r="M225" s="434"/>
      <c r="N225" s="434"/>
      <c r="O225" s="444"/>
      <c r="P225" s="401"/>
      <c r="Q225" s="436"/>
      <c r="R225" s="400"/>
      <c r="S225" s="623"/>
    </row>
    <row r="226" spans="1:21" ht="39.75" x14ac:dyDescent="0.25">
      <c r="A226" s="506"/>
      <c r="B226" s="509"/>
      <c r="C226" s="18"/>
      <c r="D226" s="466" t="s">
        <v>644</v>
      </c>
      <c r="E226" s="18"/>
      <c r="F226" s="18"/>
      <c r="G226" s="18"/>
      <c r="H226" s="18"/>
      <c r="I226" s="18">
        <f>H224</f>
        <v>100</v>
      </c>
      <c r="J226" s="18"/>
      <c r="K226" s="466" t="s">
        <v>644</v>
      </c>
      <c r="L226" s="18"/>
      <c r="M226" s="18"/>
      <c r="N226" s="18"/>
      <c r="O226" s="18"/>
      <c r="P226" s="18">
        <f>O224</f>
        <v>100</v>
      </c>
      <c r="Q226" s="18">
        <f>(I226+P226)/2</f>
        <v>100</v>
      </c>
      <c r="R226" s="18" t="s">
        <v>25</v>
      </c>
      <c r="S226" s="623"/>
      <c r="U226" s="315"/>
    </row>
    <row r="227" spans="1:21" s="315" customFormat="1" ht="115.5" customHeight="1" x14ac:dyDescent="0.25">
      <c r="A227" s="506"/>
      <c r="B227" s="509"/>
      <c r="C227" s="160" t="s">
        <v>147</v>
      </c>
      <c r="D227" s="34" t="s">
        <v>430</v>
      </c>
      <c r="E227" s="432"/>
      <c r="F227" s="66"/>
      <c r="G227" s="436"/>
      <c r="H227" s="436"/>
      <c r="I227" s="436"/>
      <c r="J227" s="160" t="s">
        <v>147</v>
      </c>
      <c r="K227" s="34" t="str">
        <f>D227</f>
        <v>Реализация дополнительных образовательных программ спортивной подготовки по неолимпийским видам спорта 
Пауэрлифтинг (учебно-тренировочный этап (этап спортивной специализации))</v>
      </c>
      <c r="L227" s="434"/>
      <c r="M227" s="138"/>
      <c r="N227" s="138"/>
      <c r="O227" s="436"/>
      <c r="P227" s="401"/>
      <c r="Q227" s="436"/>
      <c r="R227" s="402"/>
      <c r="S227" s="623"/>
    </row>
    <row r="228" spans="1:21" s="315" customFormat="1" ht="99" x14ac:dyDescent="0.25">
      <c r="A228" s="506"/>
      <c r="B228" s="509"/>
      <c r="C228" s="139" t="s">
        <v>149</v>
      </c>
      <c r="D228" s="163" t="s">
        <v>407</v>
      </c>
      <c r="E228" s="434" t="s">
        <v>20</v>
      </c>
      <c r="F228" s="135">
        <v>0</v>
      </c>
      <c r="G228" s="135">
        <v>0</v>
      </c>
      <c r="H228" s="444">
        <v>100</v>
      </c>
      <c r="I228" s="436"/>
      <c r="J228" s="139" t="s">
        <v>149</v>
      </c>
      <c r="K228" s="440" t="s">
        <v>406</v>
      </c>
      <c r="L228" s="434" t="s">
        <v>20</v>
      </c>
      <c r="M228" s="434">
        <v>19</v>
      </c>
      <c r="N228" s="434">
        <v>19</v>
      </c>
      <c r="O228" s="444">
        <f>IF(N228/M228*100&gt;110,110,N228/M228*100)</f>
        <v>100</v>
      </c>
      <c r="P228" s="401"/>
      <c r="Q228" s="436"/>
      <c r="R228" s="400"/>
      <c r="S228" s="623"/>
    </row>
    <row r="229" spans="1:21" s="315" customFormat="1" ht="181.5" customHeight="1" x14ac:dyDescent="0.25">
      <c r="A229" s="506"/>
      <c r="B229" s="509"/>
      <c r="C229" s="139" t="s">
        <v>429</v>
      </c>
      <c r="D229" s="163" t="s">
        <v>405</v>
      </c>
      <c r="E229" s="434" t="s">
        <v>20</v>
      </c>
      <c r="F229" s="434" t="s">
        <v>404</v>
      </c>
      <c r="G229" s="434" t="s">
        <v>404</v>
      </c>
      <c r="H229" s="135" t="s">
        <v>404</v>
      </c>
      <c r="I229" s="434"/>
      <c r="J229" s="136"/>
      <c r="K229" s="440"/>
      <c r="L229" s="434"/>
      <c r="M229" s="434"/>
      <c r="N229" s="434"/>
      <c r="O229" s="444"/>
      <c r="P229" s="401"/>
      <c r="Q229" s="436"/>
      <c r="R229" s="400"/>
      <c r="S229" s="623"/>
    </row>
    <row r="230" spans="1:21" ht="48" customHeight="1" x14ac:dyDescent="0.25">
      <c r="A230" s="506"/>
      <c r="B230" s="509"/>
      <c r="C230" s="18"/>
      <c r="D230" s="466" t="s">
        <v>644</v>
      </c>
      <c r="E230" s="18"/>
      <c r="F230" s="18"/>
      <c r="G230" s="18"/>
      <c r="H230" s="18"/>
      <c r="I230" s="18">
        <f>H228</f>
        <v>100</v>
      </c>
      <c r="J230" s="18"/>
      <c r="K230" s="466" t="s">
        <v>644</v>
      </c>
      <c r="L230" s="18"/>
      <c r="M230" s="18"/>
      <c r="N230" s="18"/>
      <c r="O230" s="18"/>
      <c r="P230" s="18">
        <f>O228</f>
        <v>100</v>
      </c>
      <c r="Q230" s="18">
        <f>(I230+P230)/2</f>
        <v>100</v>
      </c>
      <c r="R230" s="18" t="s">
        <v>25</v>
      </c>
      <c r="S230" s="623"/>
      <c r="U230" s="315"/>
    </row>
    <row r="231" spans="1:21" s="315" customFormat="1" ht="33" x14ac:dyDescent="0.25">
      <c r="A231" s="506"/>
      <c r="B231" s="509"/>
      <c r="C231" s="160" t="s">
        <v>150</v>
      </c>
      <c r="D231" s="34" t="s">
        <v>415</v>
      </c>
      <c r="E231" s="432"/>
      <c r="F231" s="66"/>
      <c r="G231" s="436"/>
      <c r="H231" s="436"/>
      <c r="I231" s="436"/>
      <c r="J231" s="130" t="s">
        <v>150</v>
      </c>
      <c r="K231" s="34" t="str">
        <f>D231</f>
        <v xml:space="preserve">Реализация дополнительных общеразвивающих программ </v>
      </c>
      <c r="L231" s="434"/>
      <c r="M231" s="138"/>
      <c r="N231" s="138"/>
      <c r="O231" s="436"/>
      <c r="P231" s="401"/>
      <c r="Q231" s="436"/>
      <c r="R231" s="402"/>
      <c r="S231" s="623"/>
    </row>
    <row r="232" spans="1:21" s="315" customFormat="1" x14ac:dyDescent="0.25">
      <c r="A232" s="506"/>
      <c r="B232" s="509"/>
      <c r="C232" s="136" t="s">
        <v>428</v>
      </c>
      <c r="D232" s="440" t="s">
        <v>404</v>
      </c>
      <c r="E232" s="434" t="s">
        <v>404</v>
      </c>
      <c r="F232" s="434" t="s">
        <v>404</v>
      </c>
      <c r="G232" s="434" t="s">
        <v>404</v>
      </c>
      <c r="H232" s="135" t="s">
        <v>404</v>
      </c>
      <c r="I232" s="434"/>
      <c r="J232" s="136" t="s">
        <v>428</v>
      </c>
      <c r="K232" s="161" t="s">
        <v>132</v>
      </c>
      <c r="L232" s="434" t="s">
        <v>414</v>
      </c>
      <c r="M232" s="162">
        <v>68220</v>
      </c>
      <c r="N232" s="162">
        <v>68220</v>
      </c>
      <c r="O232" s="444">
        <f>IF(N232/M232*100&gt;110,110,N232/M232*100)</f>
        <v>100</v>
      </c>
      <c r="P232" s="401"/>
      <c r="Q232" s="436"/>
      <c r="R232" s="400"/>
      <c r="S232" s="623"/>
    </row>
    <row r="233" spans="1:21" ht="41.25" customHeight="1" x14ac:dyDescent="0.25">
      <c r="A233" s="506"/>
      <c r="B233" s="509"/>
      <c r="C233" s="18"/>
      <c r="D233" s="466" t="s">
        <v>644</v>
      </c>
      <c r="E233" s="18"/>
      <c r="F233" s="18"/>
      <c r="G233" s="18"/>
      <c r="H233" s="18"/>
      <c r="I233" s="18" t="s">
        <v>245</v>
      </c>
      <c r="J233" s="18"/>
      <c r="K233" s="466" t="s">
        <v>644</v>
      </c>
      <c r="L233" s="18"/>
      <c r="M233" s="18"/>
      <c r="N233" s="18"/>
      <c r="O233" s="18"/>
      <c r="P233" s="18">
        <f>O232</f>
        <v>100</v>
      </c>
      <c r="Q233" s="18">
        <f>P233</f>
        <v>100</v>
      </c>
      <c r="R233" s="18" t="s">
        <v>25</v>
      </c>
      <c r="S233" s="623"/>
      <c r="U233" s="315"/>
    </row>
    <row r="234" spans="1:21" ht="50.25" customHeight="1" x14ac:dyDescent="0.25">
      <c r="A234" s="506"/>
      <c r="B234" s="509"/>
      <c r="C234" s="433" t="s">
        <v>277</v>
      </c>
      <c r="D234" s="34" t="s">
        <v>369</v>
      </c>
      <c r="E234" s="434"/>
      <c r="F234" s="135"/>
      <c r="G234" s="444"/>
      <c r="H234" s="436"/>
      <c r="I234" s="436"/>
      <c r="J234" s="433" t="s">
        <v>277</v>
      </c>
      <c r="K234" s="34" t="str">
        <f>D234</f>
        <v>Организация мероприятий по подготовке спортивных сборных команд</v>
      </c>
      <c r="L234" s="434"/>
      <c r="M234" s="434"/>
      <c r="N234" s="434"/>
      <c r="O234" s="444"/>
      <c r="P234" s="401"/>
      <c r="Q234" s="436"/>
      <c r="R234" s="402"/>
      <c r="S234" s="623"/>
    </row>
    <row r="235" spans="1:21" ht="98.25" customHeight="1" x14ac:dyDescent="0.25">
      <c r="A235" s="506"/>
      <c r="B235" s="509"/>
      <c r="C235" s="166" t="s">
        <v>427</v>
      </c>
      <c r="D235" s="440" t="s">
        <v>403</v>
      </c>
      <c r="E235" s="434" t="s">
        <v>18</v>
      </c>
      <c r="F235" s="135">
        <v>5</v>
      </c>
      <c r="G235" s="444">
        <v>19.2</v>
      </c>
      <c r="H235" s="444">
        <f>IF(G235/F235*100&gt;100,100,G235/F235*100)</f>
        <v>100</v>
      </c>
      <c r="I235" s="436"/>
      <c r="J235" s="166" t="s">
        <v>427</v>
      </c>
      <c r="K235" s="440" t="s">
        <v>367</v>
      </c>
      <c r="L235" s="434" t="s">
        <v>20</v>
      </c>
      <c r="M235" s="162">
        <v>80</v>
      </c>
      <c r="N235" s="162">
        <v>106</v>
      </c>
      <c r="O235" s="444">
        <f>IF(N235/M235*100&gt;110,110,N235/M235*100)</f>
        <v>110</v>
      </c>
      <c r="P235" s="401"/>
      <c r="Q235" s="436"/>
      <c r="R235" s="400"/>
      <c r="S235" s="623"/>
    </row>
    <row r="236" spans="1:21" ht="45.75" customHeight="1" x14ac:dyDescent="0.25">
      <c r="A236" s="507"/>
      <c r="B236" s="510"/>
      <c r="C236" s="18"/>
      <c r="D236" s="466" t="s">
        <v>644</v>
      </c>
      <c r="E236" s="18"/>
      <c r="F236" s="18"/>
      <c r="G236" s="18"/>
      <c r="H236" s="18"/>
      <c r="I236" s="18">
        <f>H235</f>
        <v>100</v>
      </c>
      <c r="J236" s="18"/>
      <c r="K236" s="466" t="s">
        <v>644</v>
      </c>
      <c r="L236" s="18"/>
      <c r="M236" s="18"/>
      <c r="N236" s="18"/>
      <c r="O236" s="18"/>
      <c r="P236" s="18">
        <f>O235</f>
        <v>110</v>
      </c>
      <c r="Q236" s="18">
        <f>(I236+P236)/2</f>
        <v>105</v>
      </c>
      <c r="R236" s="18" t="s">
        <v>25</v>
      </c>
      <c r="S236" s="623"/>
    </row>
    <row r="237" spans="1:21" ht="99" x14ac:dyDescent="0.25">
      <c r="A237" s="505" t="s">
        <v>57</v>
      </c>
      <c r="B237" s="508" t="s">
        <v>426</v>
      </c>
      <c r="C237" s="160" t="s">
        <v>13</v>
      </c>
      <c r="D237" s="34" t="s">
        <v>425</v>
      </c>
      <c r="E237" s="434"/>
      <c r="F237" s="135"/>
      <c r="G237" s="444"/>
      <c r="H237" s="436"/>
      <c r="I237" s="436"/>
      <c r="J237" s="130" t="s">
        <v>13</v>
      </c>
      <c r="K237" s="34" t="str">
        <f>D237</f>
        <v>Реализация дополнительных образовательных программ спортивной подготовки по олимпийским видам спорта 
Лыжные гонки (этап начальной подготовки)</v>
      </c>
      <c r="L237" s="434"/>
      <c r="M237" s="138"/>
      <c r="N237" s="138"/>
      <c r="O237" s="436"/>
      <c r="P237" s="31"/>
      <c r="Q237" s="436"/>
      <c r="R237" s="402"/>
      <c r="S237" s="623" t="s">
        <v>104</v>
      </c>
    </row>
    <row r="238" spans="1:21" ht="99" x14ac:dyDescent="0.25">
      <c r="A238" s="506"/>
      <c r="B238" s="509"/>
      <c r="C238" s="139" t="s">
        <v>16</v>
      </c>
      <c r="D238" s="163" t="s">
        <v>407</v>
      </c>
      <c r="E238" s="434" t="s">
        <v>20</v>
      </c>
      <c r="F238" s="135">
        <v>0</v>
      </c>
      <c r="G238" s="135">
        <v>0</v>
      </c>
      <c r="H238" s="444">
        <v>100</v>
      </c>
      <c r="I238" s="436"/>
      <c r="J238" s="136" t="s">
        <v>424</v>
      </c>
      <c r="K238" s="440" t="s">
        <v>406</v>
      </c>
      <c r="L238" s="434" t="s">
        <v>20</v>
      </c>
      <c r="M238" s="434">
        <v>30</v>
      </c>
      <c r="N238" s="434">
        <v>30</v>
      </c>
      <c r="O238" s="444">
        <f>IF(N238/M238*100&gt;110,110,N238/M238*100)</f>
        <v>100</v>
      </c>
      <c r="P238" s="401"/>
      <c r="Q238" s="436"/>
      <c r="R238" s="400"/>
      <c r="S238" s="623"/>
    </row>
    <row r="239" spans="1:21" ht="181.5" x14ac:dyDescent="0.25">
      <c r="A239" s="506"/>
      <c r="B239" s="509"/>
      <c r="C239" s="139" t="s">
        <v>21</v>
      </c>
      <c r="D239" s="163" t="s">
        <v>405</v>
      </c>
      <c r="E239" s="434" t="s">
        <v>20</v>
      </c>
      <c r="F239" s="434" t="s">
        <v>404</v>
      </c>
      <c r="G239" s="434" t="s">
        <v>404</v>
      </c>
      <c r="H239" s="135" t="s">
        <v>404</v>
      </c>
      <c r="I239" s="434"/>
      <c r="J239" s="136"/>
      <c r="K239" s="440"/>
      <c r="L239" s="434"/>
      <c r="M239" s="434"/>
      <c r="N239" s="434"/>
      <c r="O239" s="444"/>
      <c r="P239" s="401"/>
      <c r="Q239" s="436"/>
      <c r="R239" s="400"/>
      <c r="S239" s="623"/>
    </row>
    <row r="240" spans="1:21" ht="39.75" x14ac:dyDescent="0.25">
      <c r="A240" s="506"/>
      <c r="B240" s="509"/>
      <c r="C240" s="18"/>
      <c r="D240" s="466" t="s">
        <v>644</v>
      </c>
      <c r="E240" s="18"/>
      <c r="F240" s="18"/>
      <c r="G240" s="18"/>
      <c r="H240" s="18"/>
      <c r="I240" s="18">
        <f>H238</f>
        <v>100</v>
      </c>
      <c r="J240" s="18"/>
      <c r="K240" s="466" t="s">
        <v>644</v>
      </c>
      <c r="L240" s="18"/>
      <c r="M240" s="18"/>
      <c r="N240" s="18"/>
      <c r="O240" s="18"/>
      <c r="P240" s="18">
        <f>O238</f>
        <v>100</v>
      </c>
      <c r="Q240" s="18">
        <f>(I240+P240)/2</f>
        <v>100</v>
      </c>
      <c r="R240" s="18" t="s">
        <v>25</v>
      </c>
      <c r="S240" s="631"/>
      <c r="U240" s="315"/>
    </row>
    <row r="241" spans="1:21" ht="115.5" x14ac:dyDescent="0.25">
      <c r="A241" s="506"/>
      <c r="B241" s="509"/>
      <c r="C241" s="432" t="s">
        <v>26</v>
      </c>
      <c r="D241" s="34" t="s">
        <v>423</v>
      </c>
      <c r="E241" s="434"/>
      <c r="F241" s="135"/>
      <c r="G241" s="444"/>
      <c r="H241" s="436"/>
      <c r="I241" s="436"/>
      <c r="J241" s="130" t="str">
        <f>C241</f>
        <v>II</v>
      </c>
      <c r="K241" s="34" t="str">
        <f>D241</f>
        <v>Реализация дополнительных образовательных программ спортивной подготовки по олимпийским видам спорта 
Лыжные гонки (учебно-тренировочный этап (этап спортивной специализации))</v>
      </c>
      <c r="L241" s="434"/>
      <c r="M241" s="138"/>
      <c r="N241" s="138"/>
      <c r="O241" s="436"/>
      <c r="P241" s="31"/>
      <c r="Q241" s="436"/>
      <c r="R241" s="402"/>
      <c r="S241" s="623"/>
    </row>
    <row r="242" spans="1:21" ht="99" x14ac:dyDescent="0.25">
      <c r="A242" s="506"/>
      <c r="B242" s="509"/>
      <c r="C242" s="139" t="s">
        <v>28</v>
      </c>
      <c r="D242" s="163" t="s">
        <v>407</v>
      </c>
      <c r="E242" s="434" t="s">
        <v>20</v>
      </c>
      <c r="F242" s="135">
        <v>0</v>
      </c>
      <c r="G242" s="135">
        <v>0</v>
      </c>
      <c r="H242" s="444">
        <v>100</v>
      </c>
      <c r="I242" s="436"/>
      <c r="J242" s="136" t="str">
        <f>C242</f>
        <v>2.1.</v>
      </c>
      <c r="K242" s="440" t="s">
        <v>406</v>
      </c>
      <c r="L242" s="434" t="s">
        <v>20</v>
      </c>
      <c r="M242" s="434">
        <v>40</v>
      </c>
      <c r="N242" s="434">
        <v>40</v>
      </c>
      <c r="O242" s="444">
        <f>IF(N242/M242*100&gt;110,110,N242/M242*100)</f>
        <v>100</v>
      </c>
      <c r="P242" s="401"/>
      <c r="Q242" s="436"/>
      <c r="R242" s="400"/>
      <c r="S242" s="623"/>
    </row>
    <row r="243" spans="1:21" ht="181.5" x14ac:dyDescent="0.25">
      <c r="A243" s="506"/>
      <c r="B243" s="509"/>
      <c r="C243" s="139" t="s">
        <v>30</v>
      </c>
      <c r="D243" s="163" t="s">
        <v>405</v>
      </c>
      <c r="E243" s="434" t="s">
        <v>20</v>
      </c>
      <c r="F243" s="434" t="s">
        <v>404</v>
      </c>
      <c r="G243" s="434" t="s">
        <v>404</v>
      </c>
      <c r="H243" s="135" t="s">
        <v>404</v>
      </c>
      <c r="I243" s="434"/>
      <c r="J243" s="136"/>
      <c r="K243" s="440"/>
      <c r="L243" s="434"/>
      <c r="M243" s="434"/>
      <c r="N243" s="434"/>
      <c r="O243" s="444"/>
      <c r="P243" s="401"/>
      <c r="Q243" s="436"/>
      <c r="R243" s="400"/>
      <c r="S243" s="623"/>
    </row>
    <row r="244" spans="1:21" ht="39.75" x14ac:dyDescent="0.25">
      <c r="A244" s="506"/>
      <c r="B244" s="509"/>
      <c r="C244" s="18"/>
      <c r="D244" s="466" t="s">
        <v>644</v>
      </c>
      <c r="E244" s="18"/>
      <c r="F244" s="18"/>
      <c r="G244" s="18"/>
      <c r="H244" s="18"/>
      <c r="I244" s="18">
        <f>H242</f>
        <v>100</v>
      </c>
      <c r="J244" s="18"/>
      <c r="K244" s="466" t="s">
        <v>644</v>
      </c>
      <c r="L244" s="18"/>
      <c r="M244" s="18"/>
      <c r="N244" s="18"/>
      <c r="O244" s="18"/>
      <c r="P244" s="18">
        <f>O242</f>
        <v>100</v>
      </c>
      <c r="Q244" s="18">
        <f>(I244+P244)/2</f>
        <v>100</v>
      </c>
      <c r="R244" s="18" t="s">
        <v>25</v>
      </c>
      <c r="S244" s="631"/>
      <c r="U244" s="315"/>
    </row>
    <row r="245" spans="1:21" ht="99" x14ac:dyDescent="0.25">
      <c r="A245" s="506"/>
      <c r="B245" s="509"/>
      <c r="C245" s="432" t="s">
        <v>36</v>
      </c>
      <c r="D245" s="34" t="s">
        <v>422</v>
      </c>
      <c r="E245" s="432"/>
      <c r="F245" s="66"/>
      <c r="G245" s="436"/>
      <c r="H245" s="436"/>
      <c r="I245" s="436"/>
      <c r="J245" s="130" t="str">
        <f>C245</f>
        <v>III</v>
      </c>
      <c r="K245" s="34" t="str">
        <f>D245</f>
        <v>Реализация дополнительных образовательных программ спортивной подготовки по олимпийским видам спорта 
Футбол (этап начальной подготовки)</v>
      </c>
      <c r="L245" s="434"/>
      <c r="M245" s="444"/>
      <c r="N245" s="444"/>
      <c r="O245" s="436"/>
      <c r="P245" s="401"/>
      <c r="Q245" s="436"/>
      <c r="R245" s="402"/>
      <c r="S245" s="623"/>
    </row>
    <row r="246" spans="1:21" ht="99" x14ac:dyDescent="0.25">
      <c r="A246" s="506"/>
      <c r="B246" s="509"/>
      <c r="C246" s="139" t="s">
        <v>38</v>
      </c>
      <c r="D246" s="163" t="s">
        <v>407</v>
      </c>
      <c r="E246" s="434" t="s">
        <v>20</v>
      </c>
      <c r="F246" s="135">
        <v>0</v>
      </c>
      <c r="G246" s="135">
        <v>0</v>
      </c>
      <c r="H246" s="444">
        <v>100</v>
      </c>
      <c r="I246" s="436"/>
      <c r="J246" s="136" t="str">
        <f>C246</f>
        <v>3.1.</v>
      </c>
      <c r="K246" s="440" t="s">
        <v>406</v>
      </c>
      <c r="L246" s="434" t="s">
        <v>20</v>
      </c>
      <c r="M246" s="434">
        <v>126</v>
      </c>
      <c r="N246" s="434">
        <v>126</v>
      </c>
      <c r="O246" s="444">
        <f>IF(N246/M246*100&gt;110,110,N246/M246*100)</f>
        <v>100</v>
      </c>
      <c r="P246" s="401"/>
      <c r="Q246" s="436"/>
      <c r="R246" s="400"/>
      <c r="S246" s="623"/>
    </row>
    <row r="247" spans="1:21" ht="181.5" x14ac:dyDescent="0.25">
      <c r="A247" s="506"/>
      <c r="B247" s="509"/>
      <c r="C247" s="139" t="s">
        <v>118</v>
      </c>
      <c r="D247" s="163" t="s">
        <v>405</v>
      </c>
      <c r="E247" s="434" t="s">
        <v>20</v>
      </c>
      <c r="F247" s="434" t="s">
        <v>404</v>
      </c>
      <c r="G247" s="434" t="s">
        <v>404</v>
      </c>
      <c r="H247" s="135" t="s">
        <v>404</v>
      </c>
      <c r="I247" s="434"/>
      <c r="J247" s="136"/>
      <c r="K247" s="440"/>
      <c r="L247" s="434"/>
      <c r="M247" s="434"/>
      <c r="N247" s="434"/>
      <c r="O247" s="444"/>
      <c r="P247" s="401"/>
      <c r="Q247" s="436"/>
      <c r="R247" s="400"/>
      <c r="S247" s="623"/>
    </row>
    <row r="248" spans="1:21" ht="39.75" x14ac:dyDescent="0.25">
      <c r="A248" s="506"/>
      <c r="B248" s="509"/>
      <c r="C248" s="18"/>
      <c r="D248" s="466" t="s">
        <v>644</v>
      </c>
      <c r="E248" s="18"/>
      <c r="F248" s="18"/>
      <c r="G248" s="18"/>
      <c r="H248" s="18"/>
      <c r="I248" s="18">
        <f>H246</f>
        <v>100</v>
      </c>
      <c r="J248" s="18"/>
      <c r="K248" s="466" t="s">
        <v>644</v>
      </c>
      <c r="L248" s="18"/>
      <c r="M248" s="18"/>
      <c r="N248" s="18"/>
      <c r="O248" s="18"/>
      <c r="P248" s="18">
        <f>O246</f>
        <v>100</v>
      </c>
      <c r="Q248" s="18">
        <f>(I248+P248)/2</f>
        <v>100</v>
      </c>
      <c r="R248" s="18" t="s">
        <v>25</v>
      </c>
      <c r="S248" s="631"/>
      <c r="U248" s="315"/>
    </row>
    <row r="249" spans="1:21" ht="115.5" x14ac:dyDescent="0.25">
      <c r="A249" s="506"/>
      <c r="B249" s="509"/>
      <c r="C249" s="160" t="s">
        <v>123</v>
      </c>
      <c r="D249" s="34" t="s">
        <v>421</v>
      </c>
      <c r="E249" s="432"/>
      <c r="F249" s="66"/>
      <c r="G249" s="436"/>
      <c r="H249" s="436"/>
      <c r="I249" s="436"/>
      <c r="J249" s="130" t="str">
        <f>C249</f>
        <v>IV</v>
      </c>
      <c r="K249" s="34" t="str">
        <f>D249</f>
        <v>Реализация дополнительных образовательных программ спортивной подготовки по олимпийским видам спорта 
Футбол (учебно-тренировочный этап (этап спортивной специализации))</v>
      </c>
      <c r="L249" s="434"/>
      <c r="M249" s="444"/>
      <c r="N249" s="444"/>
      <c r="O249" s="436"/>
      <c r="P249" s="401"/>
      <c r="Q249" s="436"/>
      <c r="R249" s="402"/>
      <c r="S249" s="623"/>
    </row>
    <row r="250" spans="1:21" ht="99" x14ac:dyDescent="0.25">
      <c r="A250" s="506"/>
      <c r="B250" s="509"/>
      <c r="C250" s="139" t="s">
        <v>124</v>
      </c>
      <c r="D250" s="163" t="s">
        <v>407</v>
      </c>
      <c r="E250" s="434" t="s">
        <v>20</v>
      </c>
      <c r="F250" s="135">
        <v>0</v>
      </c>
      <c r="G250" s="135">
        <v>0</v>
      </c>
      <c r="H250" s="444">
        <v>100</v>
      </c>
      <c r="I250" s="436"/>
      <c r="J250" s="136" t="str">
        <f>C250</f>
        <v>4.1.</v>
      </c>
      <c r="K250" s="440" t="s">
        <v>406</v>
      </c>
      <c r="L250" s="434" t="s">
        <v>20</v>
      </c>
      <c r="M250" s="434">
        <v>116</v>
      </c>
      <c r="N250" s="434">
        <v>116</v>
      </c>
      <c r="O250" s="444">
        <f>IF(N250/M250*100&gt;110,110,N250/M250*100)</f>
        <v>100</v>
      </c>
      <c r="P250" s="401"/>
      <c r="Q250" s="436"/>
      <c r="R250" s="400"/>
      <c r="S250" s="623"/>
    </row>
    <row r="251" spans="1:21" ht="181.5" x14ac:dyDescent="0.25">
      <c r="A251" s="506"/>
      <c r="B251" s="509"/>
      <c r="C251" s="434" t="s">
        <v>127</v>
      </c>
      <c r="D251" s="163" t="s">
        <v>405</v>
      </c>
      <c r="E251" s="434" t="s">
        <v>20</v>
      </c>
      <c r="F251" s="434" t="s">
        <v>404</v>
      </c>
      <c r="G251" s="434" t="s">
        <v>404</v>
      </c>
      <c r="H251" s="135" t="s">
        <v>404</v>
      </c>
      <c r="I251" s="434"/>
      <c r="J251" s="136"/>
      <c r="K251" s="440"/>
      <c r="L251" s="434"/>
      <c r="M251" s="434"/>
      <c r="N251" s="434"/>
      <c r="O251" s="444"/>
      <c r="P251" s="401"/>
      <c r="Q251" s="436"/>
      <c r="R251" s="400"/>
      <c r="S251" s="623"/>
    </row>
    <row r="252" spans="1:21" ht="39.75" x14ac:dyDescent="0.25">
      <c r="A252" s="506"/>
      <c r="B252" s="509"/>
      <c r="C252" s="18"/>
      <c r="D252" s="466" t="s">
        <v>644</v>
      </c>
      <c r="E252" s="18"/>
      <c r="F252" s="18"/>
      <c r="G252" s="18"/>
      <c r="H252" s="18"/>
      <c r="I252" s="18">
        <f>H250</f>
        <v>100</v>
      </c>
      <c r="J252" s="18"/>
      <c r="K252" s="466" t="s">
        <v>644</v>
      </c>
      <c r="L252" s="18"/>
      <c r="M252" s="18"/>
      <c r="N252" s="18"/>
      <c r="O252" s="18"/>
      <c r="P252" s="18">
        <f>O250</f>
        <v>100</v>
      </c>
      <c r="Q252" s="18">
        <f>(I252+P252)/2</f>
        <v>100</v>
      </c>
      <c r="R252" s="18" t="s">
        <v>25</v>
      </c>
      <c r="S252" s="631"/>
      <c r="U252" s="315"/>
    </row>
    <row r="253" spans="1:21" s="316" customFormat="1" ht="33" x14ac:dyDescent="0.25">
      <c r="A253" s="506"/>
      <c r="B253" s="509"/>
      <c r="C253" s="160" t="s">
        <v>129</v>
      </c>
      <c r="D253" s="34" t="s">
        <v>415</v>
      </c>
      <c r="E253" s="432"/>
      <c r="F253" s="66"/>
      <c r="G253" s="436"/>
      <c r="H253" s="436"/>
      <c r="I253" s="436"/>
      <c r="J253" s="160" t="s">
        <v>129</v>
      </c>
      <c r="K253" s="34" t="str">
        <f>D253</f>
        <v xml:space="preserve">Реализация дополнительных общеразвивающих программ </v>
      </c>
      <c r="L253" s="432"/>
      <c r="M253" s="132"/>
      <c r="N253" s="132"/>
      <c r="O253" s="436"/>
      <c r="P253" s="401"/>
      <c r="Q253" s="436"/>
      <c r="R253" s="402"/>
      <c r="S253" s="623"/>
      <c r="T253" s="503"/>
    </row>
    <row r="254" spans="1:21" x14ac:dyDescent="0.25">
      <c r="A254" s="506"/>
      <c r="B254" s="509"/>
      <c r="C254" s="139" t="s">
        <v>131</v>
      </c>
      <c r="D254" s="440" t="s">
        <v>404</v>
      </c>
      <c r="E254" s="440" t="s">
        <v>404</v>
      </c>
      <c r="F254" s="440" t="s">
        <v>404</v>
      </c>
      <c r="G254" s="440" t="s">
        <v>404</v>
      </c>
      <c r="H254" s="135" t="s">
        <v>404</v>
      </c>
      <c r="I254" s="440"/>
      <c r="J254" s="139" t="s">
        <v>131</v>
      </c>
      <c r="K254" s="161" t="s">
        <v>132</v>
      </c>
      <c r="L254" s="434" t="s">
        <v>414</v>
      </c>
      <c r="M254" s="162">
        <v>25200</v>
      </c>
      <c r="N254" s="162">
        <v>25200</v>
      </c>
      <c r="O254" s="444">
        <f>IF(N254/M254*100&gt;110,110,N254/M254*100)</f>
        <v>100</v>
      </c>
      <c r="P254" s="401"/>
      <c r="Q254" s="436"/>
      <c r="R254" s="400"/>
      <c r="S254" s="623"/>
    </row>
    <row r="255" spans="1:21" ht="39.75" x14ac:dyDescent="0.25">
      <c r="A255" s="506"/>
      <c r="B255" s="509"/>
      <c r="C255" s="18"/>
      <c r="D255" s="466" t="s">
        <v>644</v>
      </c>
      <c r="E255" s="18"/>
      <c r="F255" s="18"/>
      <c r="G255" s="18"/>
      <c r="H255" s="18"/>
      <c r="I255" s="18" t="s">
        <v>245</v>
      </c>
      <c r="J255" s="18"/>
      <c r="K255" s="466" t="s">
        <v>644</v>
      </c>
      <c r="L255" s="18"/>
      <c r="M255" s="18"/>
      <c r="N255" s="18"/>
      <c r="O255" s="18"/>
      <c r="P255" s="18">
        <f>O254</f>
        <v>100</v>
      </c>
      <c r="Q255" s="18">
        <f>P255</f>
        <v>100</v>
      </c>
      <c r="R255" s="18" t="s">
        <v>25</v>
      </c>
      <c r="S255" s="631"/>
      <c r="U255" s="315"/>
    </row>
    <row r="256" spans="1:21" s="316" customFormat="1" ht="49.5" x14ac:dyDescent="0.25">
      <c r="A256" s="506"/>
      <c r="B256" s="509"/>
      <c r="C256" s="160" t="s">
        <v>140</v>
      </c>
      <c r="D256" s="34" t="s">
        <v>369</v>
      </c>
      <c r="E256" s="432"/>
      <c r="F256" s="66"/>
      <c r="G256" s="436"/>
      <c r="H256" s="436"/>
      <c r="I256" s="436"/>
      <c r="J256" s="130" t="str">
        <f>C256</f>
        <v>VI</v>
      </c>
      <c r="K256" s="34" t="str">
        <f>D256</f>
        <v>Организация мероприятий по подготовке спортивных сборных команд</v>
      </c>
      <c r="L256" s="432"/>
      <c r="M256" s="132"/>
      <c r="N256" s="132"/>
      <c r="O256" s="436"/>
      <c r="P256" s="401"/>
      <c r="Q256" s="436"/>
      <c r="R256" s="402"/>
      <c r="S256" s="623"/>
      <c r="T256" s="503"/>
    </row>
    <row r="257" spans="1:19" ht="66" x14ac:dyDescent="0.25">
      <c r="A257" s="506"/>
      <c r="B257" s="509"/>
      <c r="C257" s="139" t="s">
        <v>142</v>
      </c>
      <c r="D257" s="440" t="s">
        <v>403</v>
      </c>
      <c r="E257" s="434" t="s">
        <v>18</v>
      </c>
      <c r="F257" s="135">
        <v>5</v>
      </c>
      <c r="G257" s="444">
        <v>13.3</v>
      </c>
      <c r="H257" s="444">
        <f>IF(G257/F257*100&gt;100,100,G257/F257*100)</f>
        <v>100</v>
      </c>
      <c r="I257" s="436"/>
      <c r="J257" s="136" t="str">
        <f>C257</f>
        <v>6.1.</v>
      </c>
      <c r="K257" s="440" t="s">
        <v>367</v>
      </c>
      <c r="L257" s="434" t="s">
        <v>20</v>
      </c>
      <c r="M257" s="162">
        <v>66</v>
      </c>
      <c r="N257" s="162">
        <v>60</v>
      </c>
      <c r="O257" s="444">
        <f>IF(N257/M257*100&gt;110,110,N257/M257*100)</f>
        <v>90.909090909090907</v>
      </c>
      <c r="P257" s="401"/>
      <c r="Q257" s="436"/>
      <c r="R257" s="400"/>
      <c r="S257" s="623"/>
    </row>
    <row r="258" spans="1:19" ht="39.75" x14ac:dyDescent="0.25">
      <c r="A258" s="507"/>
      <c r="B258" s="510"/>
      <c r="C258" s="18"/>
      <c r="D258" s="466" t="s">
        <v>644</v>
      </c>
      <c r="E258" s="18"/>
      <c r="F258" s="18"/>
      <c r="G258" s="18"/>
      <c r="H258" s="18"/>
      <c r="I258" s="18">
        <f>H257</f>
        <v>100</v>
      </c>
      <c r="J258" s="18"/>
      <c r="K258" s="466" t="s">
        <v>644</v>
      </c>
      <c r="L258" s="18"/>
      <c r="M258" s="18"/>
      <c r="N258" s="18"/>
      <c r="O258" s="18"/>
      <c r="P258" s="18">
        <f>O257</f>
        <v>90.909090909090907</v>
      </c>
      <c r="Q258" s="18">
        <f>(I258+P258)/2</f>
        <v>95.454545454545453</v>
      </c>
      <c r="R258" s="18" t="s">
        <v>112</v>
      </c>
      <c r="S258" s="631"/>
    </row>
    <row r="259" spans="1:19" ht="99" x14ac:dyDescent="0.25">
      <c r="A259" s="505" t="s">
        <v>59</v>
      </c>
      <c r="B259" s="508" t="s">
        <v>420</v>
      </c>
      <c r="C259" s="160" t="s">
        <v>13</v>
      </c>
      <c r="D259" s="34" t="s">
        <v>419</v>
      </c>
      <c r="E259" s="432"/>
      <c r="F259" s="66"/>
      <c r="G259" s="436"/>
      <c r="H259" s="436"/>
      <c r="I259" s="436"/>
      <c r="J259" s="130" t="str">
        <f>C259</f>
        <v>I</v>
      </c>
      <c r="K259" s="34" t="str">
        <f>D259</f>
        <v>Реализация дополнительных образовательных программ спортивной подготовки по олимпийским видам спорта 
Хоккей (этап начальной подготовки)</v>
      </c>
      <c r="L259" s="434"/>
      <c r="M259" s="444"/>
      <c r="N259" s="444"/>
      <c r="O259" s="436"/>
      <c r="P259" s="401"/>
      <c r="Q259" s="436"/>
      <c r="R259" s="404"/>
      <c r="S259" s="623" t="s">
        <v>15</v>
      </c>
    </row>
    <row r="260" spans="1:19" ht="99" x14ac:dyDescent="0.25">
      <c r="A260" s="506"/>
      <c r="B260" s="509"/>
      <c r="C260" s="139" t="s">
        <v>16</v>
      </c>
      <c r="D260" s="163" t="s">
        <v>407</v>
      </c>
      <c r="E260" s="434" t="s">
        <v>20</v>
      </c>
      <c r="F260" s="135">
        <v>0</v>
      </c>
      <c r="G260" s="164">
        <v>0</v>
      </c>
      <c r="H260" s="444">
        <v>100</v>
      </c>
      <c r="I260" s="436"/>
      <c r="J260" s="136" t="str">
        <f>C260</f>
        <v>1.1.</v>
      </c>
      <c r="K260" s="440" t="s">
        <v>406</v>
      </c>
      <c r="L260" s="434" t="s">
        <v>20</v>
      </c>
      <c r="M260" s="162">
        <v>72</v>
      </c>
      <c r="N260" s="162">
        <v>72</v>
      </c>
      <c r="O260" s="444">
        <f>IF(N260/M260*100&gt;110,110,N260/M260*100)</f>
        <v>100</v>
      </c>
      <c r="P260" s="401"/>
      <c r="Q260" s="436"/>
      <c r="R260" s="403"/>
      <c r="S260" s="626"/>
    </row>
    <row r="261" spans="1:19" ht="181.5" x14ac:dyDescent="0.25">
      <c r="A261" s="506"/>
      <c r="B261" s="509"/>
      <c r="C261" s="139" t="s">
        <v>21</v>
      </c>
      <c r="D261" s="163" t="s">
        <v>405</v>
      </c>
      <c r="E261" s="434" t="s">
        <v>20</v>
      </c>
      <c r="F261" s="434" t="s">
        <v>404</v>
      </c>
      <c r="G261" s="434" t="s">
        <v>404</v>
      </c>
      <c r="H261" s="135" t="s">
        <v>404</v>
      </c>
      <c r="I261" s="434"/>
      <c r="J261" s="136"/>
      <c r="K261" s="440"/>
      <c r="L261" s="434"/>
      <c r="M261" s="165"/>
      <c r="N261" s="165"/>
      <c r="O261" s="444"/>
      <c r="P261" s="401"/>
      <c r="Q261" s="436"/>
      <c r="R261" s="403"/>
      <c r="S261" s="626"/>
    </row>
    <row r="262" spans="1:19" ht="39.75" x14ac:dyDescent="0.25">
      <c r="A262" s="506"/>
      <c r="B262" s="509"/>
      <c r="C262" s="18"/>
      <c r="D262" s="466" t="s">
        <v>644</v>
      </c>
      <c r="E262" s="18"/>
      <c r="F262" s="18"/>
      <c r="G262" s="18"/>
      <c r="H262" s="18"/>
      <c r="I262" s="18">
        <f>H260</f>
        <v>100</v>
      </c>
      <c r="J262" s="18"/>
      <c r="K262" s="466" t="s">
        <v>644</v>
      </c>
      <c r="L262" s="18"/>
      <c r="M262" s="18"/>
      <c r="N262" s="18"/>
      <c r="O262" s="18"/>
      <c r="P262" s="18">
        <f>O260</f>
        <v>100</v>
      </c>
      <c r="Q262" s="18">
        <f>(I262+P262)/2</f>
        <v>100</v>
      </c>
      <c r="R262" s="18" t="s">
        <v>25</v>
      </c>
      <c r="S262" s="628"/>
    </row>
    <row r="263" spans="1:19" ht="115.5" x14ac:dyDescent="0.25">
      <c r="A263" s="506"/>
      <c r="B263" s="509"/>
      <c r="C263" s="432" t="s">
        <v>26</v>
      </c>
      <c r="D263" s="34" t="s">
        <v>418</v>
      </c>
      <c r="E263" s="432"/>
      <c r="F263" s="66"/>
      <c r="G263" s="436"/>
      <c r="H263" s="436"/>
      <c r="I263" s="436"/>
      <c r="J263" s="130" t="str">
        <f>C263</f>
        <v>II</v>
      </c>
      <c r="K263" s="34" t="str">
        <f>D263</f>
        <v>Реализация дополнительных образовательных программ спортивной подготовки по олимпийским видам спорта 
Хоккей (учебно-тренировочный этап (этап спортивной специализации))</v>
      </c>
      <c r="L263" s="434"/>
      <c r="M263" s="444"/>
      <c r="N263" s="444"/>
      <c r="O263" s="436"/>
      <c r="P263" s="401"/>
      <c r="Q263" s="436"/>
      <c r="R263" s="404"/>
      <c r="S263" s="626"/>
    </row>
    <row r="264" spans="1:19" ht="99" x14ac:dyDescent="0.25">
      <c r="A264" s="506"/>
      <c r="B264" s="509"/>
      <c r="C264" s="139" t="s">
        <v>28</v>
      </c>
      <c r="D264" s="163" t="s">
        <v>407</v>
      </c>
      <c r="E264" s="434" t="s">
        <v>20</v>
      </c>
      <c r="F264" s="135">
        <v>0</v>
      </c>
      <c r="G264" s="164">
        <v>0</v>
      </c>
      <c r="H264" s="444">
        <v>100</v>
      </c>
      <c r="I264" s="436"/>
      <c r="J264" s="136" t="s">
        <v>28</v>
      </c>
      <c r="K264" s="440" t="s">
        <v>406</v>
      </c>
      <c r="L264" s="434" t="s">
        <v>20</v>
      </c>
      <c r="M264" s="434">
        <v>153</v>
      </c>
      <c r="N264" s="434">
        <v>153</v>
      </c>
      <c r="O264" s="444">
        <f>IF(N264/M264*100&gt;110,110,N264/M264*100)</f>
        <v>100</v>
      </c>
      <c r="P264" s="401"/>
      <c r="Q264" s="436"/>
      <c r="R264" s="403"/>
      <c r="S264" s="626"/>
    </row>
    <row r="265" spans="1:19" ht="181.5" x14ac:dyDescent="0.25">
      <c r="A265" s="506"/>
      <c r="B265" s="509"/>
      <c r="C265" s="139" t="s">
        <v>30</v>
      </c>
      <c r="D265" s="163" t="s">
        <v>405</v>
      </c>
      <c r="E265" s="434" t="s">
        <v>20</v>
      </c>
      <c r="F265" s="434" t="s">
        <v>404</v>
      </c>
      <c r="G265" s="434" t="s">
        <v>404</v>
      </c>
      <c r="H265" s="135" t="s">
        <v>404</v>
      </c>
      <c r="I265" s="434"/>
      <c r="J265" s="136"/>
      <c r="K265" s="440"/>
      <c r="L265" s="434"/>
      <c r="M265" s="434"/>
      <c r="N265" s="434"/>
      <c r="O265" s="444"/>
      <c r="P265" s="401"/>
      <c r="Q265" s="436"/>
      <c r="R265" s="403"/>
      <c r="S265" s="626"/>
    </row>
    <row r="266" spans="1:19" ht="39.75" x14ac:dyDescent="0.25">
      <c r="A266" s="506"/>
      <c r="B266" s="509"/>
      <c r="C266" s="18"/>
      <c r="D266" s="466" t="s">
        <v>644</v>
      </c>
      <c r="E266" s="18"/>
      <c r="F266" s="18"/>
      <c r="G266" s="18"/>
      <c r="H266" s="18"/>
      <c r="I266" s="18">
        <f>H264</f>
        <v>100</v>
      </c>
      <c r="J266" s="18"/>
      <c r="K266" s="466" t="s">
        <v>644</v>
      </c>
      <c r="L266" s="18"/>
      <c r="M266" s="18"/>
      <c r="N266" s="18"/>
      <c r="O266" s="18"/>
      <c r="P266" s="18">
        <f>O264</f>
        <v>100</v>
      </c>
      <c r="Q266" s="18">
        <f>(I266+P266)/2</f>
        <v>100</v>
      </c>
      <c r="R266" s="18" t="s">
        <v>25</v>
      </c>
      <c r="S266" s="628"/>
    </row>
    <row r="267" spans="1:19" ht="99" x14ac:dyDescent="0.25">
      <c r="A267" s="506"/>
      <c r="B267" s="509"/>
      <c r="C267" s="160" t="s">
        <v>36</v>
      </c>
      <c r="D267" s="34" t="s">
        <v>417</v>
      </c>
      <c r="E267" s="432"/>
      <c r="F267" s="66"/>
      <c r="G267" s="436"/>
      <c r="H267" s="436"/>
      <c r="I267" s="436"/>
      <c r="J267" s="136" t="str">
        <f>C267</f>
        <v>III</v>
      </c>
      <c r="K267" s="34" t="str">
        <f>D267</f>
        <v>Реализация дополнительных образовательных программ спортивной подготовки по олимпийским видам спорта 
Фигурное катание на коньках (этап начальной подготовки)</v>
      </c>
      <c r="L267" s="434"/>
      <c r="M267" s="434"/>
      <c r="N267" s="434"/>
      <c r="O267" s="436"/>
      <c r="P267" s="401"/>
      <c r="Q267" s="436"/>
      <c r="R267" s="404"/>
      <c r="S267" s="626"/>
    </row>
    <row r="268" spans="1:19" ht="99" x14ac:dyDescent="0.25">
      <c r="A268" s="506"/>
      <c r="B268" s="509"/>
      <c r="C268" s="139" t="s">
        <v>38</v>
      </c>
      <c r="D268" s="163" t="s">
        <v>407</v>
      </c>
      <c r="E268" s="434" t="s">
        <v>20</v>
      </c>
      <c r="F268" s="135">
        <v>0</v>
      </c>
      <c r="G268" s="164">
        <v>0</v>
      </c>
      <c r="H268" s="444">
        <v>100</v>
      </c>
      <c r="I268" s="436"/>
      <c r="J268" s="136" t="str">
        <f>C268</f>
        <v>3.1.</v>
      </c>
      <c r="K268" s="440" t="s">
        <v>406</v>
      </c>
      <c r="L268" s="434" t="s">
        <v>20</v>
      </c>
      <c r="M268" s="135">
        <v>58</v>
      </c>
      <c r="N268" s="135">
        <v>58</v>
      </c>
      <c r="O268" s="444">
        <f>IF(N268/M268*100&gt;110,110,N268/M268*100)</f>
        <v>100</v>
      </c>
      <c r="P268" s="405"/>
      <c r="Q268" s="436"/>
      <c r="R268" s="403"/>
      <c r="S268" s="626"/>
    </row>
    <row r="269" spans="1:19" ht="181.5" x14ac:dyDescent="0.25">
      <c r="A269" s="506"/>
      <c r="B269" s="509"/>
      <c r="C269" s="139" t="s">
        <v>118</v>
      </c>
      <c r="D269" s="163" t="s">
        <v>405</v>
      </c>
      <c r="E269" s="434" t="s">
        <v>20</v>
      </c>
      <c r="F269" s="434" t="s">
        <v>404</v>
      </c>
      <c r="G269" s="434" t="s">
        <v>404</v>
      </c>
      <c r="H269" s="135" t="s">
        <v>404</v>
      </c>
      <c r="I269" s="434"/>
      <c r="J269" s="136"/>
      <c r="K269" s="440"/>
      <c r="L269" s="434"/>
      <c r="M269" s="138"/>
      <c r="N269" s="138"/>
      <c r="O269" s="444"/>
      <c r="P269" s="401"/>
      <c r="Q269" s="436"/>
      <c r="R269" s="403"/>
      <c r="S269" s="626"/>
    </row>
    <row r="270" spans="1:19" ht="39.75" x14ac:dyDescent="0.25">
      <c r="A270" s="506"/>
      <c r="B270" s="509"/>
      <c r="C270" s="18"/>
      <c r="D270" s="466" t="s">
        <v>644</v>
      </c>
      <c r="E270" s="18"/>
      <c r="F270" s="18"/>
      <c r="G270" s="18"/>
      <c r="H270" s="18"/>
      <c r="I270" s="18">
        <f>H268</f>
        <v>100</v>
      </c>
      <c r="J270" s="18"/>
      <c r="K270" s="466" t="s">
        <v>644</v>
      </c>
      <c r="L270" s="18"/>
      <c r="M270" s="18"/>
      <c r="N270" s="18"/>
      <c r="O270" s="18"/>
      <c r="P270" s="18">
        <f>O268</f>
        <v>100</v>
      </c>
      <c r="Q270" s="18">
        <f>(I270+P270)/2</f>
        <v>100</v>
      </c>
      <c r="R270" s="18" t="s">
        <v>25</v>
      </c>
      <c r="S270" s="628"/>
    </row>
    <row r="271" spans="1:19" ht="132" x14ac:dyDescent="0.25">
      <c r="A271" s="506"/>
      <c r="B271" s="509"/>
      <c r="C271" s="160" t="s">
        <v>123</v>
      </c>
      <c r="D271" s="34" t="s">
        <v>416</v>
      </c>
      <c r="E271" s="432"/>
      <c r="F271" s="66"/>
      <c r="G271" s="436"/>
      <c r="H271" s="436"/>
      <c r="I271" s="436"/>
      <c r="J271" s="136" t="str">
        <f>C271</f>
        <v>IV</v>
      </c>
      <c r="K271" s="34" t="str">
        <f>D271</f>
        <v>Реализация дополнительных образовательных программ спортивной подготовки по олимпийским видам спорта 
Фигурное катание на коньках (учебно-тренировочный этап (этап спортивной специализации))</v>
      </c>
      <c r="L271" s="434"/>
      <c r="M271" s="434"/>
      <c r="N271" s="434"/>
      <c r="O271" s="436"/>
      <c r="P271" s="401"/>
      <c r="Q271" s="436"/>
      <c r="R271" s="404"/>
      <c r="S271" s="626"/>
    </row>
    <row r="272" spans="1:19" ht="99" x14ac:dyDescent="0.25">
      <c r="A272" s="506"/>
      <c r="B272" s="509"/>
      <c r="C272" s="139" t="s">
        <v>124</v>
      </c>
      <c r="D272" s="163" t="s">
        <v>407</v>
      </c>
      <c r="E272" s="434" t="s">
        <v>20</v>
      </c>
      <c r="F272" s="135">
        <v>0</v>
      </c>
      <c r="G272" s="164">
        <v>0</v>
      </c>
      <c r="H272" s="444">
        <v>100</v>
      </c>
      <c r="I272" s="436"/>
      <c r="J272" s="136" t="str">
        <f>C272</f>
        <v>4.1.</v>
      </c>
      <c r="K272" s="440" t="s">
        <v>406</v>
      </c>
      <c r="L272" s="434" t="s">
        <v>20</v>
      </c>
      <c r="M272" s="434">
        <v>38</v>
      </c>
      <c r="N272" s="434">
        <v>38</v>
      </c>
      <c r="O272" s="444">
        <f>IF(N272/M272*100&gt;110,110,N272/M272*100)</f>
        <v>100</v>
      </c>
      <c r="P272" s="405"/>
      <c r="Q272" s="436"/>
      <c r="R272" s="403"/>
      <c r="S272" s="626"/>
    </row>
    <row r="273" spans="1:19" ht="181.5" x14ac:dyDescent="0.25">
      <c r="A273" s="506"/>
      <c r="B273" s="509"/>
      <c r="C273" s="139" t="s">
        <v>127</v>
      </c>
      <c r="D273" s="163" t="s">
        <v>405</v>
      </c>
      <c r="E273" s="434" t="s">
        <v>20</v>
      </c>
      <c r="F273" s="434" t="s">
        <v>404</v>
      </c>
      <c r="G273" s="434" t="s">
        <v>404</v>
      </c>
      <c r="H273" s="135" t="s">
        <v>404</v>
      </c>
      <c r="I273" s="434"/>
      <c r="J273" s="136"/>
      <c r="K273" s="440"/>
      <c r="L273" s="434"/>
      <c r="M273" s="434"/>
      <c r="N273" s="434"/>
      <c r="O273" s="444"/>
      <c r="P273" s="405"/>
      <c r="Q273" s="436"/>
      <c r="R273" s="403"/>
      <c r="S273" s="626"/>
    </row>
    <row r="274" spans="1:19" ht="39.75" x14ac:dyDescent="0.25">
      <c r="A274" s="506"/>
      <c r="B274" s="509"/>
      <c r="C274" s="18"/>
      <c r="D274" s="466" t="s">
        <v>644</v>
      </c>
      <c r="E274" s="18"/>
      <c r="F274" s="18"/>
      <c r="G274" s="18"/>
      <c r="H274" s="18"/>
      <c r="I274" s="18">
        <f>H272</f>
        <v>100</v>
      </c>
      <c r="J274" s="18"/>
      <c r="K274" s="466" t="s">
        <v>644</v>
      </c>
      <c r="L274" s="18"/>
      <c r="M274" s="18"/>
      <c r="N274" s="18"/>
      <c r="O274" s="18"/>
      <c r="P274" s="18">
        <f>O272</f>
        <v>100</v>
      </c>
      <c r="Q274" s="18">
        <f>(I274+P274)/2</f>
        <v>100</v>
      </c>
      <c r="R274" s="18" t="s">
        <v>25</v>
      </c>
      <c r="S274" s="628"/>
    </row>
    <row r="275" spans="1:19" ht="33" x14ac:dyDescent="0.25">
      <c r="A275" s="506"/>
      <c r="B275" s="509"/>
      <c r="C275" s="160" t="s">
        <v>129</v>
      </c>
      <c r="D275" s="34" t="s">
        <v>415</v>
      </c>
      <c r="E275" s="432"/>
      <c r="F275" s="66"/>
      <c r="G275" s="436"/>
      <c r="H275" s="436"/>
      <c r="I275" s="436"/>
      <c r="J275" s="130" t="str">
        <f>C275</f>
        <v>V</v>
      </c>
      <c r="K275" s="34" t="str">
        <f>D275</f>
        <v xml:space="preserve">Реализация дополнительных общеразвивающих программ </v>
      </c>
      <c r="L275" s="432"/>
      <c r="M275" s="132"/>
      <c r="N275" s="132"/>
      <c r="O275" s="436"/>
      <c r="P275" s="401"/>
      <c r="Q275" s="436"/>
      <c r="R275" s="404"/>
      <c r="S275" s="626"/>
    </row>
    <row r="276" spans="1:19" x14ac:dyDescent="0.25">
      <c r="A276" s="506"/>
      <c r="B276" s="509"/>
      <c r="C276" s="139" t="s">
        <v>131</v>
      </c>
      <c r="D276" s="440" t="s">
        <v>404</v>
      </c>
      <c r="E276" s="440" t="s">
        <v>404</v>
      </c>
      <c r="F276" s="440" t="s">
        <v>404</v>
      </c>
      <c r="G276" s="440" t="s">
        <v>404</v>
      </c>
      <c r="H276" s="135" t="s">
        <v>404</v>
      </c>
      <c r="I276" s="440"/>
      <c r="J276" s="136" t="str">
        <f>C276</f>
        <v>5.1.</v>
      </c>
      <c r="K276" s="161" t="s">
        <v>132</v>
      </c>
      <c r="L276" s="434" t="s">
        <v>414</v>
      </c>
      <c r="M276" s="162">
        <v>50764</v>
      </c>
      <c r="N276" s="162">
        <v>50764</v>
      </c>
      <c r="O276" s="444">
        <f>IF(N276/M276*100&gt;110,110,N276/M276*100)</f>
        <v>100</v>
      </c>
      <c r="P276" s="401"/>
      <c r="Q276" s="436"/>
      <c r="R276" s="403"/>
      <c r="S276" s="626"/>
    </row>
    <row r="277" spans="1:19" ht="39.75" x14ac:dyDescent="0.25">
      <c r="A277" s="506"/>
      <c r="B277" s="509"/>
      <c r="C277" s="18"/>
      <c r="D277" s="466" t="s">
        <v>644</v>
      </c>
      <c r="E277" s="18"/>
      <c r="F277" s="18"/>
      <c r="G277" s="18"/>
      <c r="H277" s="18"/>
      <c r="I277" s="18" t="s">
        <v>245</v>
      </c>
      <c r="J277" s="18"/>
      <c r="K277" s="466" t="s">
        <v>644</v>
      </c>
      <c r="L277" s="18"/>
      <c r="M277" s="18"/>
      <c r="N277" s="18"/>
      <c r="O277" s="18"/>
      <c r="P277" s="18">
        <f>O276</f>
        <v>100</v>
      </c>
      <c r="Q277" s="18">
        <f>P277</f>
        <v>100</v>
      </c>
      <c r="R277" s="18" t="s">
        <v>25</v>
      </c>
      <c r="S277" s="628"/>
    </row>
    <row r="278" spans="1:19" ht="49.5" x14ac:dyDescent="0.25">
      <c r="A278" s="506"/>
      <c r="B278" s="509"/>
      <c r="C278" s="160" t="s">
        <v>140</v>
      </c>
      <c r="D278" s="34" t="s">
        <v>369</v>
      </c>
      <c r="E278" s="432"/>
      <c r="F278" s="66"/>
      <c r="G278" s="436"/>
      <c r="H278" s="436"/>
      <c r="I278" s="436"/>
      <c r="J278" s="130" t="str">
        <f>C278</f>
        <v>VI</v>
      </c>
      <c r="K278" s="34" t="str">
        <f>D278</f>
        <v>Организация мероприятий по подготовке спортивных сборных команд</v>
      </c>
      <c r="L278" s="432"/>
      <c r="M278" s="132"/>
      <c r="N278" s="132"/>
      <c r="O278" s="436"/>
      <c r="P278" s="401"/>
      <c r="Q278" s="436"/>
      <c r="R278" s="404"/>
      <c r="S278" s="626"/>
    </row>
    <row r="279" spans="1:19" ht="94.5" customHeight="1" x14ac:dyDescent="0.25">
      <c r="A279" s="506"/>
      <c r="B279" s="509"/>
      <c r="C279" s="139" t="s">
        <v>142</v>
      </c>
      <c r="D279" s="440" t="s">
        <v>403</v>
      </c>
      <c r="E279" s="434" t="s">
        <v>18</v>
      </c>
      <c r="F279" s="135">
        <v>5</v>
      </c>
      <c r="G279" s="444">
        <v>19.3</v>
      </c>
      <c r="H279" s="444">
        <f>IF(G279/F279*100&gt;100,100,G279/F279*100)</f>
        <v>100</v>
      </c>
      <c r="I279" s="436"/>
      <c r="J279" s="136" t="str">
        <f>C279</f>
        <v>6.1.</v>
      </c>
      <c r="K279" s="440" t="s">
        <v>367</v>
      </c>
      <c r="L279" s="434" t="s">
        <v>20</v>
      </c>
      <c r="M279" s="162">
        <v>68</v>
      </c>
      <c r="N279" s="162">
        <v>110</v>
      </c>
      <c r="O279" s="444">
        <f>IF(N279/M279*100&gt;110,110,N279/M279*100)</f>
        <v>110</v>
      </c>
      <c r="P279" s="401"/>
      <c r="Q279" s="436"/>
      <c r="R279" s="403"/>
      <c r="S279" s="626"/>
    </row>
    <row r="280" spans="1:19" ht="39.75" x14ac:dyDescent="0.25">
      <c r="A280" s="507"/>
      <c r="B280" s="510"/>
      <c r="C280" s="18"/>
      <c r="D280" s="466" t="s">
        <v>644</v>
      </c>
      <c r="E280" s="18"/>
      <c r="F280" s="18"/>
      <c r="G280" s="18"/>
      <c r="H280" s="18"/>
      <c r="I280" s="18">
        <f>H279</f>
        <v>100</v>
      </c>
      <c r="J280" s="18"/>
      <c r="K280" s="466" t="s">
        <v>644</v>
      </c>
      <c r="L280" s="18"/>
      <c r="M280" s="18"/>
      <c r="N280" s="18"/>
      <c r="O280" s="18"/>
      <c r="P280" s="18">
        <f>O279</f>
        <v>110</v>
      </c>
      <c r="Q280" s="18">
        <f>(I280+P280)/2</f>
        <v>105</v>
      </c>
      <c r="R280" s="18" t="s">
        <v>25</v>
      </c>
      <c r="S280" s="628"/>
    </row>
    <row r="281" spans="1:19" ht="126" customHeight="1" x14ac:dyDescent="0.25">
      <c r="A281" s="513" t="s">
        <v>61</v>
      </c>
      <c r="B281" s="514" t="s">
        <v>413</v>
      </c>
      <c r="C281" s="160" t="s">
        <v>13</v>
      </c>
      <c r="D281" s="34" t="s">
        <v>412</v>
      </c>
      <c r="E281" s="432"/>
      <c r="F281" s="66"/>
      <c r="G281" s="436"/>
      <c r="H281" s="436"/>
      <c r="I281" s="436"/>
      <c r="J281" s="130" t="str">
        <f>C281</f>
        <v>I</v>
      </c>
      <c r="K281" s="34" t="str">
        <f>D281</f>
        <v>Реализация дополнительных образовательных программ спортивной подготовки по олимпийским видам спорта 
Плавание (этап начальной подготовки)</v>
      </c>
      <c r="L281" s="434"/>
      <c r="M281" s="444"/>
      <c r="N281" s="444"/>
      <c r="O281" s="436"/>
      <c r="P281" s="31"/>
      <c r="Q281" s="436"/>
      <c r="R281" s="404"/>
      <c r="S281" s="623" t="s">
        <v>104</v>
      </c>
    </row>
    <row r="282" spans="1:19" ht="99" x14ac:dyDescent="0.25">
      <c r="A282" s="513"/>
      <c r="B282" s="514"/>
      <c r="C282" s="139" t="s">
        <v>16</v>
      </c>
      <c r="D282" s="161" t="s">
        <v>407</v>
      </c>
      <c r="E282" s="434" t="s">
        <v>20</v>
      </c>
      <c r="F282" s="135">
        <v>0</v>
      </c>
      <c r="G282" s="135">
        <v>0</v>
      </c>
      <c r="H282" s="444">
        <v>100</v>
      </c>
      <c r="I282" s="436"/>
      <c r="J282" s="136" t="str">
        <f>C282</f>
        <v>1.1.</v>
      </c>
      <c r="K282" s="440" t="s">
        <v>406</v>
      </c>
      <c r="L282" s="434" t="s">
        <v>20</v>
      </c>
      <c r="M282" s="434">
        <v>150</v>
      </c>
      <c r="N282" s="434">
        <v>150</v>
      </c>
      <c r="O282" s="444">
        <f>IF(N282/M282*100&gt;110,110,N282/M282*100)</f>
        <v>100</v>
      </c>
      <c r="P282" s="401"/>
      <c r="Q282" s="436"/>
      <c r="R282" s="403"/>
      <c r="S282" s="626"/>
    </row>
    <row r="283" spans="1:19" ht="181.5" x14ac:dyDescent="0.25">
      <c r="A283" s="513"/>
      <c r="B283" s="514"/>
      <c r="C283" s="139" t="s">
        <v>21</v>
      </c>
      <c r="D283" s="161" t="s">
        <v>405</v>
      </c>
      <c r="E283" s="434" t="s">
        <v>20</v>
      </c>
      <c r="F283" s="434" t="s">
        <v>404</v>
      </c>
      <c r="G283" s="434" t="s">
        <v>404</v>
      </c>
      <c r="H283" s="135" t="s">
        <v>404</v>
      </c>
      <c r="I283" s="434"/>
      <c r="J283" s="136"/>
      <c r="K283" s="440"/>
      <c r="L283" s="434"/>
      <c r="M283" s="434"/>
      <c r="N283" s="434"/>
      <c r="O283" s="444"/>
      <c r="P283" s="401"/>
      <c r="Q283" s="436"/>
      <c r="R283" s="403"/>
      <c r="S283" s="626"/>
    </row>
    <row r="284" spans="1:19" ht="39.75" x14ac:dyDescent="0.25">
      <c r="A284" s="513"/>
      <c r="B284" s="514"/>
      <c r="C284" s="18"/>
      <c r="D284" s="466" t="s">
        <v>644</v>
      </c>
      <c r="E284" s="18"/>
      <c r="F284" s="18"/>
      <c r="G284" s="18"/>
      <c r="H284" s="18"/>
      <c r="I284" s="18">
        <f>H282</f>
        <v>100</v>
      </c>
      <c r="J284" s="18"/>
      <c r="K284" s="466" t="s">
        <v>644</v>
      </c>
      <c r="L284" s="18"/>
      <c r="M284" s="18"/>
      <c r="N284" s="18"/>
      <c r="O284" s="18"/>
      <c r="P284" s="18">
        <f>O282</f>
        <v>100</v>
      </c>
      <c r="Q284" s="18">
        <f>(I284+P284)/2</f>
        <v>100</v>
      </c>
      <c r="R284" s="18" t="s">
        <v>25</v>
      </c>
      <c r="S284" s="628"/>
    </row>
    <row r="285" spans="1:19" ht="115.5" x14ac:dyDescent="0.25">
      <c r="A285" s="513"/>
      <c r="B285" s="514"/>
      <c r="C285" s="160" t="s">
        <v>26</v>
      </c>
      <c r="D285" s="34" t="s">
        <v>411</v>
      </c>
      <c r="E285" s="432"/>
      <c r="F285" s="66"/>
      <c r="G285" s="436"/>
      <c r="H285" s="436"/>
      <c r="I285" s="436"/>
      <c r="J285" s="130" t="str">
        <f>C285</f>
        <v>II</v>
      </c>
      <c r="K285" s="34" t="str">
        <f>D285</f>
        <v>Реализация дополнительных образовательных программ спортивной подготовки по олимпийским видам спорта 
Плавание (учебно-тренировочный этап (этап спортивной специализации))</v>
      </c>
      <c r="L285" s="434"/>
      <c r="M285" s="138"/>
      <c r="N285" s="138"/>
      <c r="O285" s="436"/>
      <c r="P285" s="401"/>
      <c r="Q285" s="436"/>
      <c r="R285" s="404"/>
      <c r="S285" s="626"/>
    </row>
    <row r="286" spans="1:19" ht="99" x14ac:dyDescent="0.25">
      <c r="A286" s="513"/>
      <c r="B286" s="514"/>
      <c r="C286" s="139" t="s">
        <v>28</v>
      </c>
      <c r="D286" s="161" t="s">
        <v>407</v>
      </c>
      <c r="E286" s="434" t="s">
        <v>20</v>
      </c>
      <c r="F286" s="135">
        <v>0</v>
      </c>
      <c r="G286" s="135">
        <v>0</v>
      </c>
      <c r="H286" s="444">
        <v>100</v>
      </c>
      <c r="I286" s="436"/>
      <c r="J286" s="136" t="str">
        <f>C286</f>
        <v>2.1.</v>
      </c>
      <c r="K286" s="440" t="s">
        <v>406</v>
      </c>
      <c r="L286" s="434" t="s">
        <v>20</v>
      </c>
      <c r="M286" s="434">
        <v>60</v>
      </c>
      <c r="N286" s="434">
        <v>60</v>
      </c>
      <c r="O286" s="444">
        <f>IF(N286/M286*100&gt;110,110,N286/M286*100)</f>
        <v>100</v>
      </c>
      <c r="P286" s="401"/>
      <c r="Q286" s="436"/>
      <c r="R286" s="403"/>
      <c r="S286" s="626"/>
    </row>
    <row r="287" spans="1:19" ht="181.5" x14ac:dyDescent="0.25">
      <c r="A287" s="513"/>
      <c r="B287" s="514"/>
      <c r="C287" s="139" t="s">
        <v>30</v>
      </c>
      <c r="D287" s="161" t="s">
        <v>405</v>
      </c>
      <c r="E287" s="434" t="s">
        <v>20</v>
      </c>
      <c r="F287" s="434" t="s">
        <v>404</v>
      </c>
      <c r="G287" s="434" t="s">
        <v>404</v>
      </c>
      <c r="H287" s="135" t="s">
        <v>404</v>
      </c>
      <c r="I287" s="434"/>
      <c r="J287" s="136"/>
      <c r="K287" s="440"/>
      <c r="L287" s="434"/>
      <c r="M287" s="434"/>
      <c r="N287" s="434"/>
      <c r="O287" s="444"/>
      <c r="P287" s="401"/>
      <c r="Q287" s="436"/>
      <c r="R287" s="403"/>
      <c r="S287" s="626"/>
    </row>
    <row r="288" spans="1:19" ht="39.75" x14ac:dyDescent="0.25">
      <c r="A288" s="513"/>
      <c r="B288" s="514"/>
      <c r="C288" s="18"/>
      <c r="D288" s="466" t="s">
        <v>644</v>
      </c>
      <c r="E288" s="18"/>
      <c r="F288" s="18"/>
      <c r="G288" s="18"/>
      <c r="H288" s="18"/>
      <c r="I288" s="18">
        <f>H286</f>
        <v>100</v>
      </c>
      <c r="J288" s="18"/>
      <c r="K288" s="466" t="s">
        <v>644</v>
      </c>
      <c r="L288" s="18"/>
      <c r="M288" s="18"/>
      <c r="N288" s="18"/>
      <c r="O288" s="18"/>
      <c r="P288" s="18">
        <f>O286</f>
        <v>100</v>
      </c>
      <c r="Q288" s="18">
        <f>(I288+P288)/2</f>
        <v>100</v>
      </c>
      <c r="R288" s="18" t="s">
        <v>25</v>
      </c>
      <c r="S288" s="628"/>
    </row>
    <row r="289" spans="1:19" ht="141" customHeight="1" x14ac:dyDescent="0.25">
      <c r="A289" s="513"/>
      <c r="B289" s="514"/>
      <c r="C289" s="160" t="s">
        <v>36</v>
      </c>
      <c r="D289" s="34" t="s">
        <v>410</v>
      </c>
      <c r="E289" s="432"/>
      <c r="F289" s="66"/>
      <c r="G289" s="436"/>
      <c r="H289" s="436"/>
      <c r="I289" s="436"/>
      <c r="J289" s="130" t="str">
        <f>C289</f>
        <v>III</v>
      </c>
      <c r="K289" s="34" t="str">
        <f>D289</f>
        <v>Реализация дополнительных образовательных программ спортивной подготовки по олимпийским видам спорта 
Плавание (этап совершенствования спортивного мастерства)</v>
      </c>
      <c r="L289" s="434"/>
      <c r="M289" s="138"/>
      <c r="N289" s="138"/>
      <c r="O289" s="436"/>
      <c r="P289" s="401"/>
      <c r="Q289" s="436"/>
      <c r="R289" s="404"/>
      <c r="S289" s="628"/>
    </row>
    <row r="290" spans="1:19" ht="99" x14ac:dyDescent="0.25">
      <c r="A290" s="513"/>
      <c r="B290" s="514"/>
      <c r="C290" s="139" t="s">
        <v>38</v>
      </c>
      <c r="D290" s="161" t="s">
        <v>407</v>
      </c>
      <c r="E290" s="434" t="s">
        <v>20</v>
      </c>
      <c r="F290" s="135">
        <v>0</v>
      </c>
      <c r="G290" s="135">
        <v>0</v>
      </c>
      <c r="H290" s="444">
        <v>100</v>
      </c>
      <c r="I290" s="436"/>
      <c r="J290" s="136" t="str">
        <f>C290</f>
        <v>3.1.</v>
      </c>
      <c r="K290" s="440" t="s">
        <v>406</v>
      </c>
      <c r="L290" s="434" t="s">
        <v>20</v>
      </c>
      <c r="M290" s="434">
        <v>4</v>
      </c>
      <c r="N290" s="434">
        <v>4</v>
      </c>
      <c r="O290" s="444">
        <f>IF(N290/M290*100&gt;110,110,N290/M290*100)</f>
        <v>100</v>
      </c>
      <c r="P290" s="401"/>
      <c r="Q290" s="436"/>
      <c r="R290" s="403"/>
      <c r="S290" s="628"/>
    </row>
    <row r="291" spans="1:19" ht="181.5" x14ac:dyDescent="0.25">
      <c r="A291" s="513"/>
      <c r="B291" s="514"/>
      <c r="C291" s="139" t="s">
        <v>118</v>
      </c>
      <c r="D291" s="161" t="s">
        <v>405</v>
      </c>
      <c r="E291" s="434" t="s">
        <v>20</v>
      </c>
      <c r="F291" s="434" t="s">
        <v>404</v>
      </c>
      <c r="G291" s="434" t="s">
        <v>404</v>
      </c>
      <c r="H291" s="135" t="s">
        <v>404</v>
      </c>
      <c r="I291" s="434"/>
      <c r="J291" s="136"/>
      <c r="K291" s="440"/>
      <c r="L291" s="434"/>
      <c r="M291" s="434"/>
      <c r="N291" s="434"/>
      <c r="O291" s="444"/>
      <c r="P291" s="401"/>
      <c r="Q291" s="436"/>
      <c r="R291" s="403"/>
      <c r="S291" s="628"/>
    </row>
    <row r="292" spans="1:19" ht="39.75" x14ac:dyDescent="0.25">
      <c r="A292" s="513"/>
      <c r="B292" s="514"/>
      <c r="C292" s="18"/>
      <c r="D292" s="466" t="s">
        <v>644</v>
      </c>
      <c r="E292" s="18"/>
      <c r="F292" s="18"/>
      <c r="G292" s="18"/>
      <c r="H292" s="18"/>
      <c r="I292" s="18">
        <f>H290</f>
        <v>100</v>
      </c>
      <c r="J292" s="18"/>
      <c r="K292" s="466" t="s">
        <v>644</v>
      </c>
      <c r="L292" s="18"/>
      <c r="M292" s="18"/>
      <c r="N292" s="18"/>
      <c r="O292" s="18"/>
      <c r="P292" s="18">
        <f>O290</f>
        <v>100</v>
      </c>
      <c r="Q292" s="18">
        <f>(I292+P292)/2</f>
        <v>100</v>
      </c>
      <c r="R292" s="18" t="s">
        <v>25</v>
      </c>
      <c r="S292" s="628"/>
    </row>
    <row r="293" spans="1:19" ht="99" x14ac:dyDescent="0.25">
      <c r="A293" s="513"/>
      <c r="B293" s="514"/>
      <c r="C293" s="432" t="s">
        <v>140</v>
      </c>
      <c r="D293" s="34" t="s">
        <v>409</v>
      </c>
      <c r="E293" s="432"/>
      <c r="F293" s="66"/>
      <c r="G293" s="436"/>
      <c r="H293" s="436"/>
      <c r="I293" s="436"/>
      <c r="J293" s="130" t="str">
        <f>C293</f>
        <v>VI</v>
      </c>
      <c r="K293" s="34" t="str">
        <f>D293</f>
        <v>Реализация дополнительных образовательных программ спортивной подготовки по олимпийским видам спорта 
Водное поло (этап начальной подготовки)</v>
      </c>
      <c r="L293" s="434"/>
      <c r="M293" s="444"/>
      <c r="N293" s="444"/>
      <c r="O293" s="436"/>
      <c r="P293" s="401"/>
      <c r="Q293" s="436"/>
      <c r="R293" s="404"/>
      <c r="S293" s="626"/>
    </row>
    <row r="294" spans="1:19" ht="99" x14ac:dyDescent="0.25">
      <c r="A294" s="513"/>
      <c r="B294" s="514"/>
      <c r="C294" s="139" t="s">
        <v>124</v>
      </c>
      <c r="D294" s="161" t="s">
        <v>407</v>
      </c>
      <c r="E294" s="434" t="s">
        <v>20</v>
      </c>
      <c r="F294" s="135">
        <v>0</v>
      </c>
      <c r="G294" s="135">
        <v>0</v>
      </c>
      <c r="H294" s="444">
        <v>100</v>
      </c>
      <c r="I294" s="436"/>
      <c r="J294" s="139" t="s">
        <v>124</v>
      </c>
      <c r="K294" s="440" t="s">
        <v>406</v>
      </c>
      <c r="L294" s="434" t="s">
        <v>20</v>
      </c>
      <c r="M294" s="434">
        <v>120</v>
      </c>
      <c r="N294" s="434">
        <v>120</v>
      </c>
      <c r="O294" s="444">
        <f>IF(N294/M294*100&gt;110,110,N294/M294*100)</f>
        <v>100</v>
      </c>
      <c r="P294" s="401"/>
      <c r="Q294" s="436"/>
      <c r="R294" s="403"/>
      <c r="S294" s="626"/>
    </row>
    <row r="295" spans="1:19" ht="181.5" x14ac:dyDescent="0.25">
      <c r="A295" s="513"/>
      <c r="B295" s="514"/>
      <c r="C295" s="139" t="s">
        <v>127</v>
      </c>
      <c r="D295" s="161" t="s">
        <v>405</v>
      </c>
      <c r="E295" s="434" t="s">
        <v>20</v>
      </c>
      <c r="F295" s="434" t="s">
        <v>404</v>
      </c>
      <c r="G295" s="434" t="s">
        <v>404</v>
      </c>
      <c r="H295" s="135" t="s">
        <v>404</v>
      </c>
      <c r="I295" s="434"/>
      <c r="J295" s="136"/>
      <c r="K295" s="440"/>
      <c r="L295" s="434"/>
      <c r="M295" s="434"/>
      <c r="N295" s="434"/>
      <c r="O295" s="444"/>
      <c r="P295" s="401"/>
      <c r="Q295" s="436"/>
      <c r="R295" s="403"/>
      <c r="S295" s="626"/>
    </row>
    <row r="296" spans="1:19" ht="39.75" x14ac:dyDescent="0.25">
      <c r="A296" s="513"/>
      <c r="B296" s="514"/>
      <c r="C296" s="18"/>
      <c r="D296" s="466" t="s">
        <v>644</v>
      </c>
      <c r="E296" s="18"/>
      <c r="F296" s="18"/>
      <c r="G296" s="18"/>
      <c r="H296" s="18"/>
      <c r="I296" s="18">
        <f>H294</f>
        <v>100</v>
      </c>
      <c r="J296" s="18"/>
      <c r="K296" s="466" t="s">
        <v>644</v>
      </c>
      <c r="L296" s="18"/>
      <c r="M296" s="18"/>
      <c r="N296" s="18"/>
      <c r="O296" s="18"/>
      <c r="P296" s="18">
        <f>O294</f>
        <v>100</v>
      </c>
      <c r="Q296" s="18">
        <f>(I296+P296)/2</f>
        <v>100</v>
      </c>
      <c r="R296" s="18" t="s">
        <v>25</v>
      </c>
      <c r="S296" s="628"/>
    </row>
    <row r="297" spans="1:19" ht="115.5" x14ac:dyDescent="0.25">
      <c r="A297" s="513"/>
      <c r="B297" s="514"/>
      <c r="C297" s="160" t="s">
        <v>129</v>
      </c>
      <c r="D297" s="34" t="s">
        <v>408</v>
      </c>
      <c r="E297" s="432"/>
      <c r="F297" s="66"/>
      <c r="G297" s="436"/>
      <c r="H297" s="436"/>
      <c r="I297" s="436"/>
      <c r="J297" s="130" t="str">
        <f>C297</f>
        <v>V</v>
      </c>
      <c r="K297" s="34" t="str">
        <f>D297</f>
        <v>Реализация дополнительных образовательных программ спортивной подготовки по олимпийским видам спорта 
Водное поло (учебно-тренировочный этап (этап спортивной специализации))</v>
      </c>
      <c r="L297" s="434"/>
      <c r="M297" s="138"/>
      <c r="N297" s="138"/>
      <c r="O297" s="436"/>
      <c r="P297" s="401"/>
      <c r="Q297" s="436"/>
      <c r="R297" s="404"/>
      <c r="S297" s="626"/>
    </row>
    <row r="298" spans="1:19" ht="99" x14ac:dyDescent="0.25">
      <c r="A298" s="513"/>
      <c r="B298" s="514"/>
      <c r="C298" s="139" t="s">
        <v>131</v>
      </c>
      <c r="D298" s="161" t="s">
        <v>407</v>
      </c>
      <c r="E298" s="434" t="s">
        <v>20</v>
      </c>
      <c r="F298" s="135">
        <v>0</v>
      </c>
      <c r="G298" s="135">
        <v>0</v>
      </c>
      <c r="H298" s="444">
        <v>100</v>
      </c>
      <c r="I298" s="436"/>
      <c r="J298" s="139" t="s">
        <v>131</v>
      </c>
      <c r="K298" s="440" t="s">
        <v>406</v>
      </c>
      <c r="L298" s="434" t="s">
        <v>20</v>
      </c>
      <c r="M298" s="434">
        <v>69</v>
      </c>
      <c r="N298" s="434">
        <v>69</v>
      </c>
      <c r="O298" s="444">
        <f>IF(N298/M298*100&gt;110,110,N298/M298*100)</f>
        <v>100</v>
      </c>
      <c r="P298" s="401"/>
      <c r="Q298" s="436"/>
      <c r="R298" s="403"/>
      <c r="S298" s="626"/>
    </row>
    <row r="299" spans="1:19" ht="181.5" x14ac:dyDescent="0.25">
      <c r="A299" s="513"/>
      <c r="B299" s="514"/>
      <c r="C299" s="139" t="s">
        <v>183</v>
      </c>
      <c r="D299" s="161" t="s">
        <v>405</v>
      </c>
      <c r="E299" s="434" t="s">
        <v>20</v>
      </c>
      <c r="F299" s="434" t="s">
        <v>404</v>
      </c>
      <c r="G299" s="434" t="s">
        <v>404</v>
      </c>
      <c r="H299" s="135" t="s">
        <v>404</v>
      </c>
      <c r="I299" s="434"/>
      <c r="J299" s="136"/>
      <c r="K299" s="440"/>
      <c r="L299" s="434"/>
      <c r="M299" s="434"/>
      <c r="N299" s="434"/>
      <c r="O299" s="444"/>
      <c r="P299" s="401"/>
      <c r="Q299" s="436"/>
      <c r="R299" s="403"/>
      <c r="S299" s="626"/>
    </row>
    <row r="300" spans="1:19" ht="39.75" x14ac:dyDescent="0.25">
      <c r="A300" s="513"/>
      <c r="B300" s="514"/>
      <c r="C300" s="18"/>
      <c r="D300" s="466" t="s">
        <v>644</v>
      </c>
      <c r="E300" s="18"/>
      <c r="F300" s="18"/>
      <c r="G300" s="18"/>
      <c r="H300" s="18"/>
      <c r="I300" s="18">
        <f>H298</f>
        <v>100</v>
      </c>
      <c r="J300" s="18"/>
      <c r="K300" s="466" t="s">
        <v>644</v>
      </c>
      <c r="L300" s="18"/>
      <c r="M300" s="18"/>
      <c r="N300" s="18"/>
      <c r="O300" s="18"/>
      <c r="P300" s="18">
        <f>O298</f>
        <v>100</v>
      </c>
      <c r="Q300" s="18">
        <f>(I300+P300)/2</f>
        <v>100</v>
      </c>
      <c r="R300" s="18" t="s">
        <v>25</v>
      </c>
      <c r="S300" s="628"/>
    </row>
    <row r="301" spans="1:19" ht="51.75" customHeight="1" x14ac:dyDescent="0.25">
      <c r="A301" s="513"/>
      <c r="B301" s="514"/>
      <c r="C301" s="160" t="s">
        <v>140</v>
      </c>
      <c r="D301" s="34" t="s">
        <v>369</v>
      </c>
      <c r="E301" s="434"/>
      <c r="F301" s="135"/>
      <c r="G301" s="444"/>
      <c r="H301" s="436"/>
      <c r="I301" s="436"/>
      <c r="J301" s="130" t="str">
        <f>C301</f>
        <v>VI</v>
      </c>
      <c r="K301" s="34" t="str">
        <f>D301</f>
        <v>Организация мероприятий по подготовке спортивных сборных команд</v>
      </c>
      <c r="L301" s="434"/>
      <c r="M301" s="434"/>
      <c r="N301" s="434"/>
      <c r="O301" s="436"/>
      <c r="P301" s="401"/>
      <c r="Q301" s="436"/>
      <c r="R301" s="404"/>
      <c r="S301" s="626"/>
    </row>
    <row r="302" spans="1:19" ht="106.5" customHeight="1" x14ac:dyDescent="0.25">
      <c r="A302" s="513"/>
      <c r="B302" s="514"/>
      <c r="C302" s="139" t="s">
        <v>142</v>
      </c>
      <c r="D302" s="440" t="s">
        <v>403</v>
      </c>
      <c r="E302" s="434" t="s">
        <v>18</v>
      </c>
      <c r="F302" s="135">
        <v>5</v>
      </c>
      <c r="G302" s="444">
        <v>12</v>
      </c>
      <c r="H302" s="444">
        <f>IF(G302/F302*100&gt;100,100,G302/F302*100)</f>
        <v>100</v>
      </c>
      <c r="I302" s="436"/>
      <c r="J302" s="136" t="str">
        <f>C302</f>
        <v>6.1.</v>
      </c>
      <c r="K302" s="440" t="s">
        <v>367</v>
      </c>
      <c r="L302" s="434" t="s">
        <v>402</v>
      </c>
      <c r="M302" s="434">
        <v>55</v>
      </c>
      <c r="N302" s="434">
        <v>50</v>
      </c>
      <c r="O302" s="444">
        <f>IF(N302/M302*100&gt;110,110,N302/M302*100)</f>
        <v>90.909090909090907</v>
      </c>
      <c r="P302" s="401"/>
      <c r="Q302" s="436"/>
      <c r="R302" s="403"/>
      <c r="S302" s="626"/>
    </row>
    <row r="303" spans="1:19" ht="40.5" thickBot="1" x14ac:dyDescent="0.3">
      <c r="A303" s="629"/>
      <c r="B303" s="630"/>
      <c r="C303" s="159"/>
      <c r="D303" s="466" t="s">
        <v>644</v>
      </c>
      <c r="E303" s="159"/>
      <c r="F303" s="159"/>
      <c r="G303" s="159"/>
      <c r="H303" s="159"/>
      <c r="I303" s="159">
        <f>H302</f>
        <v>100</v>
      </c>
      <c r="J303" s="159"/>
      <c r="K303" s="466" t="s">
        <v>644</v>
      </c>
      <c r="L303" s="159"/>
      <c r="M303" s="159"/>
      <c r="N303" s="159"/>
      <c r="O303" s="159"/>
      <c r="P303" s="159">
        <f>O302</f>
        <v>90.909090909090907</v>
      </c>
      <c r="Q303" s="159">
        <f>(I303+P303)/2</f>
        <v>95.454545454545453</v>
      </c>
      <c r="R303" s="159" t="s">
        <v>112</v>
      </c>
      <c r="S303" s="628"/>
    </row>
    <row r="304" spans="1:19" ht="72" customHeight="1" x14ac:dyDescent="0.25">
      <c r="A304" s="625">
        <v>9</v>
      </c>
      <c r="B304" s="509" t="s">
        <v>401</v>
      </c>
      <c r="C304" s="158" t="s">
        <v>13</v>
      </c>
      <c r="D304" s="154" t="s">
        <v>379</v>
      </c>
      <c r="E304" s="153"/>
      <c r="F304" s="157"/>
      <c r="G304" s="156"/>
      <c r="H304" s="150"/>
      <c r="I304" s="150"/>
      <c r="J304" s="155" t="s">
        <v>13</v>
      </c>
      <c r="K304" s="154" t="str">
        <f>D304</f>
        <v>Организация физкультурно-спортивной работы по месту жительства граждан</v>
      </c>
      <c r="L304" s="153"/>
      <c r="M304" s="152"/>
      <c r="N304" s="152"/>
      <c r="O304" s="150"/>
      <c r="P304" s="151"/>
      <c r="Q304" s="150"/>
      <c r="R304" s="149"/>
      <c r="S304" s="623" t="s">
        <v>15</v>
      </c>
    </row>
    <row r="305" spans="1:19" ht="18.75" customHeight="1" x14ac:dyDescent="0.25">
      <c r="A305" s="625"/>
      <c r="B305" s="509"/>
      <c r="C305" s="19" t="s">
        <v>16</v>
      </c>
      <c r="D305" s="41" t="s">
        <v>336</v>
      </c>
      <c r="E305" s="19" t="s">
        <v>216</v>
      </c>
      <c r="F305" s="78">
        <v>3</v>
      </c>
      <c r="G305" s="78">
        <v>0</v>
      </c>
      <c r="H305" s="24">
        <v>100</v>
      </c>
      <c r="I305" s="35"/>
      <c r="J305" s="120" t="s">
        <v>16</v>
      </c>
      <c r="K305" s="41" t="s">
        <v>378</v>
      </c>
      <c r="L305" s="19" t="s">
        <v>41</v>
      </c>
      <c r="M305" s="141">
        <v>4090</v>
      </c>
      <c r="N305" s="141">
        <v>4112</v>
      </c>
      <c r="O305" s="24">
        <f>IF(N305/M305*100&gt;110,110,N305/M305*100)</f>
        <v>100.53789731051346</v>
      </c>
      <c r="P305" s="399"/>
      <c r="Q305" s="35"/>
      <c r="R305" s="94"/>
      <c r="S305" s="626"/>
    </row>
    <row r="306" spans="1:19" ht="39.75" x14ac:dyDescent="0.25">
      <c r="A306" s="625"/>
      <c r="B306" s="509"/>
      <c r="C306" s="128"/>
      <c r="D306" s="466" t="s">
        <v>644</v>
      </c>
      <c r="E306" s="20"/>
      <c r="F306" s="127"/>
      <c r="G306" s="126"/>
      <c r="H306" s="18"/>
      <c r="I306" s="18">
        <f>H305</f>
        <v>100</v>
      </c>
      <c r="J306" s="125"/>
      <c r="K306" s="466" t="s">
        <v>644</v>
      </c>
      <c r="L306" s="20"/>
      <c r="M306" s="124"/>
      <c r="N306" s="124"/>
      <c r="O306" s="18"/>
      <c r="P306" s="18">
        <f>O305</f>
        <v>100.53789731051346</v>
      </c>
      <c r="Q306" s="18">
        <f>(I306+P306)/2</f>
        <v>100.26894865525674</v>
      </c>
      <c r="R306" s="447" t="s">
        <v>25</v>
      </c>
      <c r="S306" s="626"/>
    </row>
    <row r="307" spans="1:19" ht="33" x14ac:dyDescent="0.25">
      <c r="A307" s="625"/>
      <c r="B307" s="509"/>
      <c r="C307" s="431" t="s">
        <v>26</v>
      </c>
      <c r="D307" s="59" t="s">
        <v>377</v>
      </c>
      <c r="E307" s="19"/>
      <c r="F307" s="78"/>
      <c r="G307" s="24"/>
      <c r="H307" s="35"/>
      <c r="I307" s="35"/>
      <c r="J307" s="121" t="s">
        <v>26</v>
      </c>
      <c r="K307" s="59" t="str">
        <f>D307</f>
        <v>Обеспечение доступа к объектам спорта</v>
      </c>
      <c r="L307" s="19"/>
      <c r="M307" s="96"/>
      <c r="N307" s="96"/>
      <c r="O307" s="35"/>
      <c r="P307" s="148"/>
      <c r="Q307" s="35"/>
      <c r="R307" s="432"/>
      <c r="S307" s="626"/>
    </row>
    <row r="308" spans="1:19" ht="23.25" customHeight="1" x14ac:dyDescent="0.25">
      <c r="A308" s="625"/>
      <c r="B308" s="509"/>
      <c r="C308" s="19" t="s">
        <v>28</v>
      </c>
      <c r="D308" s="41" t="s">
        <v>336</v>
      </c>
      <c r="E308" s="19" t="s">
        <v>216</v>
      </c>
      <c r="F308" s="78">
        <v>3</v>
      </c>
      <c r="G308" s="78">
        <v>0</v>
      </c>
      <c r="H308" s="24">
        <v>100</v>
      </c>
      <c r="I308" s="35"/>
      <c r="J308" s="120" t="str">
        <f>C308</f>
        <v>2.1.</v>
      </c>
      <c r="K308" s="41" t="s">
        <v>376</v>
      </c>
      <c r="L308" s="19" t="s">
        <v>41</v>
      </c>
      <c r="M308" s="141">
        <v>15</v>
      </c>
      <c r="N308" s="141">
        <v>16</v>
      </c>
      <c r="O308" s="24">
        <f>IF(N308/M308*100&gt;110,110,N308/M308*100)</f>
        <v>106.66666666666667</v>
      </c>
      <c r="P308" s="399"/>
      <c r="Q308" s="35"/>
      <c r="R308" s="432"/>
      <c r="S308" s="626"/>
    </row>
    <row r="309" spans="1:19" ht="97.5" customHeight="1" x14ac:dyDescent="0.25">
      <c r="A309" s="625"/>
      <c r="B309" s="509"/>
      <c r="C309" s="19" t="s">
        <v>30</v>
      </c>
      <c r="D309" s="41" t="s">
        <v>384</v>
      </c>
      <c r="E309" s="19" t="s">
        <v>18</v>
      </c>
      <c r="F309" s="78">
        <v>98</v>
      </c>
      <c r="G309" s="24">
        <v>100</v>
      </c>
      <c r="H309" s="24">
        <f>IF(G309/F309*100&gt;100,100,G309/F309*100)</f>
        <v>100</v>
      </c>
      <c r="I309" s="35"/>
      <c r="J309" s="120"/>
      <c r="K309" s="41"/>
      <c r="L309" s="19"/>
      <c r="M309" s="96"/>
      <c r="N309" s="96"/>
      <c r="O309" s="24"/>
      <c r="P309" s="399"/>
      <c r="Q309" s="35"/>
      <c r="R309" s="432"/>
      <c r="S309" s="626"/>
    </row>
    <row r="310" spans="1:19" ht="82.5" x14ac:dyDescent="0.25">
      <c r="A310" s="625"/>
      <c r="B310" s="509"/>
      <c r="C310" s="19" t="s">
        <v>34</v>
      </c>
      <c r="D310" s="41" t="s">
        <v>400</v>
      </c>
      <c r="E310" s="19" t="s">
        <v>18</v>
      </c>
      <c r="F310" s="78">
        <v>98</v>
      </c>
      <c r="G310" s="24">
        <v>100</v>
      </c>
      <c r="H310" s="24">
        <f>IF(G310/F310*100&gt;100,100,G310/F310*100)</f>
        <v>100</v>
      </c>
      <c r="I310" s="35"/>
      <c r="J310" s="120"/>
      <c r="K310" s="41"/>
      <c r="L310" s="19"/>
      <c r="M310" s="96"/>
      <c r="N310" s="96"/>
      <c r="O310" s="24"/>
      <c r="P310" s="399"/>
      <c r="Q310" s="35"/>
      <c r="R310" s="432"/>
      <c r="S310" s="626"/>
    </row>
    <row r="311" spans="1:19" ht="39.75" x14ac:dyDescent="0.25">
      <c r="A311" s="625"/>
      <c r="B311" s="509"/>
      <c r="C311" s="128"/>
      <c r="D311" s="466" t="s">
        <v>644</v>
      </c>
      <c r="E311" s="20"/>
      <c r="F311" s="127"/>
      <c r="G311" s="126"/>
      <c r="H311" s="18"/>
      <c r="I311" s="18">
        <f>(H308+H309+H310)/3</f>
        <v>100</v>
      </c>
      <c r="J311" s="125"/>
      <c r="K311" s="466" t="s">
        <v>644</v>
      </c>
      <c r="L311" s="20"/>
      <c r="M311" s="124"/>
      <c r="N311" s="124"/>
      <c r="O311" s="18"/>
      <c r="P311" s="18">
        <f>O308</f>
        <v>106.66666666666667</v>
      </c>
      <c r="Q311" s="18">
        <f>(I311+P311)/2</f>
        <v>103.33333333333334</v>
      </c>
      <c r="R311" s="447" t="s">
        <v>25</v>
      </c>
      <c r="S311" s="626"/>
    </row>
    <row r="312" spans="1:19" ht="49.5" x14ac:dyDescent="0.25">
      <c r="A312" s="625"/>
      <c r="B312" s="509"/>
      <c r="C312" s="431" t="s">
        <v>36</v>
      </c>
      <c r="D312" s="59" t="s">
        <v>373</v>
      </c>
      <c r="E312" s="19"/>
      <c r="F312" s="78"/>
      <c r="G312" s="24"/>
      <c r="H312" s="35"/>
      <c r="I312" s="35"/>
      <c r="J312" s="121" t="str">
        <f>C312</f>
        <v>III</v>
      </c>
      <c r="K312" s="59" t="str">
        <f>D312</f>
        <v xml:space="preserve">Организация и проведение официальных спортивных мероприятий </v>
      </c>
      <c r="L312" s="19"/>
      <c r="M312" s="96"/>
      <c r="N312" s="96"/>
      <c r="O312" s="35"/>
      <c r="P312" s="147"/>
      <c r="Q312" s="35"/>
      <c r="R312" s="432"/>
      <c r="S312" s="626"/>
    </row>
    <row r="313" spans="1:19" ht="31.5" customHeight="1" x14ac:dyDescent="0.25">
      <c r="A313" s="625"/>
      <c r="B313" s="509"/>
      <c r="C313" s="19" t="s">
        <v>38</v>
      </c>
      <c r="D313" s="41" t="s">
        <v>372</v>
      </c>
      <c r="E313" s="19" t="s">
        <v>20</v>
      </c>
      <c r="F313" s="78">
        <v>500</v>
      </c>
      <c r="G313" s="141">
        <v>500</v>
      </c>
      <c r="H313" s="24">
        <f t="shared" ref="H313" si="0">IF(G313/F313*100&gt;100,100,G313/F313*100)</f>
        <v>100</v>
      </c>
      <c r="I313" s="35"/>
      <c r="J313" s="120" t="str">
        <f>C313</f>
        <v>3.1.</v>
      </c>
      <c r="K313" s="41" t="s">
        <v>270</v>
      </c>
      <c r="L313" s="19" t="s">
        <v>41</v>
      </c>
      <c r="M313" s="141">
        <v>13</v>
      </c>
      <c r="N313" s="141">
        <v>13</v>
      </c>
      <c r="O313" s="24">
        <f>IF(N313/M313*100&gt;110,110,N313/M313*100)</f>
        <v>100</v>
      </c>
      <c r="P313" s="399"/>
      <c r="Q313" s="35"/>
      <c r="R313" s="432"/>
      <c r="S313" s="626"/>
    </row>
    <row r="314" spans="1:19" ht="16.5" x14ac:dyDescent="0.25">
      <c r="A314" s="625"/>
      <c r="B314" s="509"/>
      <c r="C314" s="19" t="s">
        <v>118</v>
      </c>
      <c r="D314" s="440" t="s">
        <v>336</v>
      </c>
      <c r="E314" s="19" t="s">
        <v>216</v>
      </c>
      <c r="F314" s="78">
        <v>3</v>
      </c>
      <c r="G314" s="141">
        <v>0</v>
      </c>
      <c r="H314" s="24">
        <v>100</v>
      </c>
      <c r="I314" s="35"/>
      <c r="J314" s="120"/>
      <c r="K314" s="41"/>
      <c r="L314" s="19"/>
      <c r="M314" s="96"/>
      <c r="N314" s="96"/>
      <c r="O314" s="24"/>
      <c r="P314" s="399"/>
      <c r="Q314" s="35"/>
      <c r="R314" s="432"/>
      <c r="S314" s="626"/>
    </row>
    <row r="315" spans="1:19" ht="39.75" x14ac:dyDescent="0.25">
      <c r="A315" s="625"/>
      <c r="B315" s="509"/>
      <c r="C315" s="128"/>
      <c r="D315" s="466" t="s">
        <v>644</v>
      </c>
      <c r="E315" s="20"/>
      <c r="F315" s="127"/>
      <c r="G315" s="126"/>
      <c r="H315" s="18"/>
      <c r="I315" s="18">
        <f>(H313+H314)/2</f>
        <v>100</v>
      </c>
      <c r="J315" s="125"/>
      <c r="K315" s="466" t="s">
        <v>644</v>
      </c>
      <c r="L315" s="20"/>
      <c r="M315" s="124"/>
      <c r="N315" s="124"/>
      <c r="O315" s="18"/>
      <c r="P315" s="18">
        <f>O313</f>
        <v>100</v>
      </c>
      <c r="Q315" s="18">
        <f>(I315+P315)/2</f>
        <v>100</v>
      </c>
      <c r="R315" s="447" t="s">
        <v>25</v>
      </c>
      <c r="S315" s="626"/>
    </row>
    <row r="316" spans="1:19" ht="66" x14ac:dyDescent="0.25">
      <c r="A316" s="625"/>
      <c r="B316" s="509"/>
      <c r="C316" s="431" t="s">
        <v>123</v>
      </c>
      <c r="D316" s="59" t="s">
        <v>399</v>
      </c>
      <c r="E316" s="19"/>
      <c r="F316" s="78"/>
      <c r="G316" s="24"/>
      <c r="H316" s="35"/>
      <c r="I316" s="35"/>
      <c r="J316" s="121" t="str">
        <f>C316</f>
        <v>IV</v>
      </c>
      <c r="K316" s="59" t="str">
        <f>D316</f>
        <v>Проведение тестирования выполнения нормативов испытаний (тестов) комплекса ГТО</v>
      </c>
      <c r="L316" s="19"/>
      <c r="M316" s="96"/>
      <c r="N316" s="96"/>
      <c r="O316" s="35"/>
      <c r="P316" s="35"/>
      <c r="Q316" s="35"/>
      <c r="R316" s="432"/>
      <c r="S316" s="626"/>
    </row>
    <row r="317" spans="1:19" ht="37.5" customHeight="1" x14ac:dyDescent="0.25">
      <c r="A317" s="625"/>
      <c r="B317" s="509"/>
      <c r="C317" s="19" t="s">
        <v>124</v>
      </c>
      <c r="D317" s="41" t="s">
        <v>398</v>
      </c>
      <c r="E317" s="19" t="s">
        <v>20</v>
      </c>
      <c r="F317" s="78">
        <v>1500</v>
      </c>
      <c r="G317" s="141">
        <v>1556</v>
      </c>
      <c r="H317" s="24">
        <f t="shared" ref="H317" si="1">IF(G317/F317*100&gt;100,100,G317/F317*100)</f>
        <v>100</v>
      </c>
      <c r="I317" s="35"/>
      <c r="J317" s="120" t="str">
        <f>C317</f>
        <v>4.1.</v>
      </c>
      <c r="K317" s="41" t="s">
        <v>270</v>
      </c>
      <c r="L317" s="19" t="s">
        <v>41</v>
      </c>
      <c r="M317" s="141">
        <v>150</v>
      </c>
      <c r="N317" s="141">
        <v>153</v>
      </c>
      <c r="O317" s="24">
        <f>IF(N317/M317*100&gt;110,110,N317/M317*100)</f>
        <v>102</v>
      </c>
      <c r="P317" s="399"/>
      <c r="Q317" s="35"/>
      <c r="R317" s="432"/>
      <c r="S317" s="626"/>
    </row>
    <row r="318" spans="1:19" ht="39.75" x14ac:dyDescent="0.25">
      <c r="A318" s="625"/>
      <c r="B318" s="509"/>
      <c r="C318" s="128"/>
      <c r="D318" s="466" t="s">
        <v>644</v>
      </c>
      <c r="E318" s="20"/>
      <c r="F318" s="127"/>
      <c r="G318" s="126"/>
      <c r="H318" s="18"/>
      <c r="I318" s="18">
        <f>H317</f>
        <v>100</v>
      </c>
      <c r="J318" s="125"/>
      <c r="K318" s="466" t="s">
        <v>644</v>
      </c>
      <c r="L318" s="20"/>
      <c r="M318" s="124"/>
      <c r="N318" s="124"/>
      <c r="O318" s="18"/>
      <c r="P318" s="18">
        <f>O317</f>
        <v>102</v>
      </c>
      <c r="Q318" s="18">
        <f>(I318+P318)/2</f>
        <v>101</v>
      </c>
      <c r="R318" s="447" t="s">
        <v>25</v>
      </c>
      <c r="S318" s="626"/>
    </row>
    <row r="319" spans="1:19" ht="109.5" customHeight="1" x14ac:dyDescent="0.25">
      <c r="A319" s="625"/>
      <c r="B319" s="509"/>
      <c r="C319" s="431" t="s">
        <v>129</v>
      </c>
      <c r="D319" s="59" t="s">
        <v>397</v>
      </c>
      <c r="E319" s="19"/>
      <c r="F319" s="78"/>
      <c r="G319" s="24"/>
      <c r="H319" s="35"/>
      <c r="I319" s="35"/>
      <c r="J319" s="121" t="str">
        <f>C319</f>
        <v>V</v>
      </c>
      <c r="K319" s="59" t="str">
        <f>D319</f>
        <v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v>
      </c>
      <c r="L319" s="431"/>
      <c r="M319" s="146"/>
      <c r="N319" s="146"/>
      <c r="O319" s="35"/>
      <c r="P319" s="35"/>
      <c r="Q319" s="35"/>
      <c r="R319" s="432"/>
      <c r="S319" s="626"/>
    </row>
    <row r="320" spans="1:19" ht="34.5" customHeight="1" x14ac:dyDescent="0.25">
      <c r="A320" s="625"/>
      <c r="B320" s="509"/>
      <c r="C320" s="19" t="s">
        <v>131</v>
      </c>
      <c r="D320" s="41" t="s">
        <v>372</v>
      </c>
      <c r="E320" s="19" t="s">
        <v>20</v>
      </c>
      <c r="F320" s="78">
        <v>500</v>
      </c>
      <c r="G320" s="78">
        <v>549</v>
      </c>
      <c r="H320" s="24">
        <f t="shared" ref="H320" si="2">IF(G320/F320*100&gt;100,100,G320/F320*100)</f>
        <v>100</v>
      </c>
      <c r="I320" s="35"/>
      <c r="J320" s="120" t="str">
        <f>C320</f>
        <v>5.1.</v>
      </c>
      <c r="K320" s="41" t="s">
        <v>270</v>
      </c>
      <c r="L320" s="19" t="s">
        <v>41</v>
      </c>
      <c r="M320" s="141">
        <v>10</v>
      </c>
      <c r="N320" s="141">
        <v>10</v>
      </c>
      <c r="O320" s="24">
        <f>IF(N320/M320*100&gt;110,110,N320/M320*100)</f>
        <v>100</v>
      </c>
      <c r="P320" s="399"/>
      <c r="Q320" s="35"/>
      <c r="R320" s="432"/>
      <c r="S320" s="626"/>
    </row>
    <row r="321" spans="1:19" ht="16.5" x14ac:dyDescent="0.25">
      <c r="A321" s="625"/>
      <c r="B321" s="509"/>
      <c r="C321" s="19" t="s">
        <v>183</v>
      </c>
      <c r="D321" s="440" t="s">
        <v>381</v>
      </c>
      <c r="E321" s="19" t="s">
        <v>216</v>
      </c>
      <c r="F321" s="78">
        <v>3</v>
      </c>
      <c r="G321" s="141">
        <v>0</v>
      </c>
      <c r="H321" s="24">
        <v>100</v>
      </c>
      <c r="I321" s="35"/>
      <c r="J321" s="120"/>
      <c r="K321" s="41"/>
      <c r="L321" s="19"/>
      <c r="M321" s="141"/>
      <c r="N321" s="141"/>
      <c r="O321" s="24"/>
      <c r="P321" s="399"/>
      <c r="Q321" s="35"/>
      <c r="R321" s="432"/>
      <c r="S321" s="626"/>
    </row>
    <row r="322" spans="1:19" ht="39.75" x14ac:dyDescent="0.25">
      <c r="A322" s="625"/>
      <c r="B322" s="509"/>
      <c r="C322" s="128"/>
      <c r="D322" s="466" t="s">
        <v>644</v>
      </c>
      <c r="E322" s="20"/>
      <c r="F322" s="127"/>
      <c r="G322" s="126"/>
      <c r="H322" s="18"/>
      <c r="I322" s="18">
        <f>(H320+H321)/2</f>
        <v>100</v>
      </c>
      <c r="J322" s="125"/>
      <c r="K322" s="466" t="s">
        <v>644</v>
      </c>
      <c r="L322" s="20"/>
      <c r="M322" s="124"/>
      <c r="N322" s="124"/>
      <c r="O322" s="18"/>
      <c r="P322" s="18">
        <f>O320</f>
        <v>100</v>
      </c>
      <c r="Q322" s="18">
        <f>(I322+P322)/2</f>
        <v>100</v>
      </c>
      <c r="R322" s="447" t="s">
        <v>25</v>
      </c>
      <c r="S322" s="626"/>
    </row>
    <row r="323" spans="1:19" ht="114.75" customHeight="1" x14ac:dyDescent="0.25">
      <c r="A323" s="625"/>
      <c r="B323" s="509"/>
      <c r="C323" s="145" t="s">
        <v>140</v>
      </c>
      <c r="D323" s="59" t="s">
        <v>396</v>
      </c>
      <c r="E323" s="19"/>
      <c r="F323" s="78"/>
      <c r="G323" s="24"/>
      <c r="H323" s="35"/>
      <c r="I323" s="35"/>
      <c r="J323" s="145" t="s">
        <v>140</v>
      </c>
      <c r="K323" s="59" t="s">
        <v>396</v>
      </c>
      <c r="L323" s="19"/>
      <c r="M323" s="96"/>
      <c r="N323" s="96"/>
      <c r="O323" s="35"/>
      <c r="P323" s="35"/>
      <c r="Q323" s="35"/>
      <c r="R323" s="431"/>
      <c r="S323" s="626"/>
    </row>
    <row r="324" spans="1:19" ht="115.5" x14ac:dyDescent="0.25">
      <c r="A324" s="625"/>
      <c r="B324" s="509"/>
      <c r="C324" s="120" t="s">
        <v>393</v>
      </c>
      <c r="D324" s="41" t="s">
        <v>395</v>
      </c>
      <c r="E324" s="19" t="s">
        <v>394</v>
      </c>
      <c r="F324" s="78">
        <v>0</v>
      </c>
      <c r="G324" s="78">
        <v>0</v>
      </c>
      <c r="H324" s="24">
        <v>100</v>
      </c>
      <c r="I324" s="35"/>
      <c r="J324" s="120" t="s">
        <v>393</v>
      </c>
      <c r="K324" s="41" t="s">
        <v>270</v>
      </c>
      <c r="L324" s="19" t="s">
        <v>41</v>
      </c>
      <c r="M324" s="144">
        <v>4</v>
      </c>
      <c r="N324" s="144">
        <v>4</v>
      </c>
      <c r="O324" s="24">
        <v>100</v>
      </c>
      <c r="P324" s="35"/>
      <c r="Q324" s="35"/>
      <c r="R324" s="431"/>
      <c r="S324" s="626"/>
    </row>
    <row r="325" spans="1:19" ht="39.75" x14ac:dyDescent="0.25">
      <c r="A325" s="625"/>
      <c r="B325" s="509"/>
      <c r="C325" s="128"/>
      <c r="D325" s="466" t="s">
        <v>644</v>
      </c>
      <c r="E325" s="20"/>
      <c r="F325" s="127"/>
      <c r="G325" s="126"/>
      <c r="H325" s="18"/>
      <c r="I325" s="18">
        <f>H324</f>
        <v>100</v>
      </c>
      <c r="J325" s="125"/>
      <c r="K325" s="466" t="s">
        <v>644</v>
      </c>
      <c r="L325" s="20"/>
      <c r="M325" s="124"/>
      <c r="N325" s="124"/>
      <c r="O325" s="18"/>
      <c r="P325" s="18">
        <v>100</v>
      </c>
      <c r="Q325" s="18">
        <v>100</v>
      </c>
      <c r="R325" s="447" t="s">
        <v>25</v>
      </c>
      <c r="S325" s="626"/>
    </row>
    <row r="326" spans="1:19" ht="49.5" customHeight="1" x14ac:dyDescent="0.25">
      <c r="A326" s="627">
        <v>10</v>
      </c>
      <c r="B326" s="508" t="s">
        <v>392</v>
      </c>
      <c r="C326" s="432" t="s">
        <v>13</v>
      </c>
      <c r="D326" s="34" t="s">
        <v>379</v>
      </c>
      <c r="E326" s="432"/>
      <c r="F326" s="66"/>
      <c r="G326" s="132"/>
      <c r="H326" s="436"/>
      <c r="I326" s="436"/>
      <c r="J326" s="130" t="str">
        <f>C326</f>
        <v>I</v>
      </c>
      <c r="K326" s="34" t="str">
        <f>D326</f>
        <v>Организация физкультурно-спортивной работы по месту жительства граждан</v>
      </c>
      <c r="L326" s="434"/>
      <c r="M326" s="432"/>
      <c r="N326" s="432"/>
      <c r="O326" s="436"/>
      <c r="P326" s="436"/>
      <c r="Q326" s="436"/>
      <c r="R326" s="432"/>
      <c r="S326" s="623" t="s">
        <v>391</v>
      </c>
    </row>
    <row r="327" spans="1:19" ht="18.75" customHeight="1" x14ac:dyDescent="0.25">
      <c r="A327" s="627"/>
      <c r="B327" s="509"/>
      <c r="C327" s="139" t="s">
        <v>16</v>
      </c>
      <c r="D327" s="440" t="s">
        <v>336</v>
      </c>
      <c r="E327" s="19" t="s">
        <v>216</v>
      </c>
      <c r="F327" s="135">
        <v>3</v>
      </c>
      <c r="G327" s="135">
        <v>0</v>
      </c>
      <c r="H327" s="444">
        <v>100</v>
      </c>
      <c r="I327" s="436"/>
      <c r="J327" s="136" t="s">
        <v>16</v>
      </c>
      <c r="K327" s="440" t="s">
        <v>378</v>
      </c>
      <c r="L327" s="434" t="s">
        <v>41</v>
      </c>
      <c r="M327" s="143">
        <v>376</v>
      </c>
      <c r="N327" s="143">
        <v>376</v>
      </c>
      <c r="O327" s="444">
        <f>IF(N327/M327*100&gt;110,110,N327/M327*100)</f>
        <v>100</v>
      </c>
      <c r="P327" s="436"/>
      <c r="Q327" s="436"/>
      <c r="R327" s="432"/>
      <c r="S327" s="623"/>
    </row>
    <row r="328" spans="1:19" ht="39.75" x14ac:dyDescent="0.25">
      <c r="A328" s="627"/>
      <c r="B328" s="509"/>
      <c r="C328" s="128"/>
      <c r="D328" s="466" t="s">
        <v>644</v>
      </c>
      <c r="E328" s="20"/>
      <c r="F328" s="127"/>
      <c r="G328" s="126"/>
      <c r="H328" s="18"/>
      <c r="I328" s="18">
        <f>H327</f>
        <v>100</v>
      </c>
      <c r="J328" s="125"/>
      <c r="K328" s="466" t="s">
        <v>644</v>
      </c>
      <c r="L328" s="20"/>
      <c r="M328" s="124"/>
      <c r="N328" s="124"/>
      <c r="O328" s="18"/>
      <c r="P328" s="18">
        <f>O327</f>
        <v>100</v>
      </c>
      <c r="Q328" s="18">
        <f>(I328+P328)/2</f>
        <v>100</v>
      </c>
      <c r="R328" s="447" t="s">
        <v>25</v>
      </c>
      <c r="S328" s="623"/>
    </row>
    <row r="329" spans="1:19" ht="33" x14ac:dyDescent="0.25">
      <c r="A329" s="627"/>
      <c r="B329" s="509"/>
      <c r="C329" s="432" t="s">
        <v>26</v>
      </c>
      <c r="D329" s="34" t="s">
        <v>377</v>
      </c>
      <c r="E329" s="434"/>
      <c r="F329" s="135"/>
      <c r="G329" s="138"/>
      <c r="H329" s="436"/>
      <c r="I329" s="436"/>
      <c r="J329" s="130" t="str">
        <f>C329</f>
        <v>II</v>
      </c>
      <c r="K329" s="34" t="str">
        <f>D329</f>
        <v>Обеспечение доступа к объектам спорта</v>
      </c>
      <c r="L329" s="434"/>
      <c r="M329" s="143"/>
      <c r="N329" s="143"/>
      <c r="O329" s="436"/>
      <c r="P329" s="436"/>
      <c r="Q329" s="436"/>
      <c r="R329" s="432"/>
      <c r="S329" s="623"/>
    </row>
    <row r="330" spans="1:19" ht="16.5" customHeight="1" x14ac:dyDescent="0.25">
      <c r="A330" s="627"/>
      <c r="B330" s="509"/>
      <c r="C330" s="434" t="s">
        <v>28</v>
      </c>
      <c r="D330" s="440" t="s">
        <v>336</v>
      </c>
      <c r="E330" s="19" t="s">
        <v>216</v>
      </c>
      <c r="F330" s="135">
        <v>3</v>
      </c>
      <c r="G330" s="135">
        <v>0</v>
      </c>
      <c r="H330" s="444">
        <v>100</v>
      </c>
      <c r="I330" s="436"/>
      <c r="J330" s="136" t="s">
        <v>28</v>
      </c>
      <c r="K330" s="440" t="s">
        <v>376</v>
      </c>
      <c r="L330" s="434" t="s">
        <v>41</v>
      </c>
      <c r="M330" s="143">
        <v>14</v>
      </c>
      <c r="N330" s="143">
        <v>13</v>
      </c>
      <c r="O330" s="444">
        <f>IF(N330/M330*100&gt;110,110,N330/M330*100)</f>
        <v>92.857142857142861</v>
      </c>
      <c r="P330" s="436"/>
      <c r="Q330" s="436"/>
      <c r="R330" s="432"/>
      <c r="S330" s="623"/>
    </row>
    <row r="331" spans="1:19" ht="115.5" x14ac:dyDescent="0.25">
      <c r="A331" s="627"/>
      <c r="B331" s="509"/>
      <c r="C331" s="434" t="s">
        <v>30</v>
      </c>
      <c r="D331" s="440" t="s">
        <v>384</v>
      </c>
      <c r="E331" s="434" t="s">
        <v>18</v>
      </c>
      <c r="F331" s="135">
        <v>100</v>
      </c>
      <c r="G331" s="444">
        <v>93</v>
      </c>
      <c r="H331" s="444">
        <f>IF(G331/F331*100&gt;100,100,G331/F331*100)</f>
        <v>93</v>
      </c>
      <c r="I331" s="436"/>
      <c r="J331" s="136"/>
      <c r="K331" s="440"/>
      <c r="L331" s="434"/>
      <c r="M331" s="143"/>
      <c r="N331" s="143"/>
      <c r="O331" s="444"/>
      <c r="P331" s="436"/>
      <c r="Q331" s="436"/>
      <c r="R331" s="432"/>
      <c r="S331" s="623"/>
    </row>
    <row r="332" spans="1:19" ht="127.5" customHeight="1" x14ac:dyDescent="0.25">
      <c r="A332" s="627"/>
      <c r="B332" s="509"/>
      <c r="C332" s="434" t="s">
        <v>34</v>
      </c>
      <c r="D332" s="440" t="s">
        <v>374</v>
      </c>
      <c r="E332" s="434" t="s">
        <v>18</v>
      </c>
      <c r="F332" s="135">
        <v>98</v>
      </c>
      <c r="G332" s="444">
        <v>98</v>
      </c>
      <c r="H332" s="444">
        <f>IF(G332/F332*100&gt;100,100,G332/F332*100)</f>
        <v>100</v>
      </c>
      <c r="I332" s="436"/>
      <c r="J332" s="136"/>
      <c r="K332" s="440"/>
      <c r="L332" s="434"/>
      <c r="M332" s="143"/>
      <c r="N332" s="143"/>
      <c r="O332" s="444"/>
      <c r="P332" s="436"/>
      <c r="Q332" s="436"/>
      <c r="R332" s="432"/>
      <c r="S332" s="623"/>
    </row>
    <row r="333" spans="1:19" ht="39.75" x14ac:dyDescent="0.25">
      <c r="A333" s="627"/>
      <c r="B333" s="509"/>
      <c r="C333" s="128"/>
      <c r="D333" s="466" t="s">
        <v>644</v>
      </c>
      <c r="E333" s="20"/>
      <c r="F333" s="127"/>
      <c r="G333" s="126"/>
      <c r="H333" s="18"/>
      <c r="I333" s="18">
        <f>(H330+H331+H332)/3</f>
        <v>97.666666666666671</v>
      </c>
      <c r="J333" s="125"/>
      <c r="K333" s="466" t="s">
        <v>644</v>
      </c>
      <c r="L333" s="20"/>
      <c r="M333" s="124"/>
      <c r="N333" s="124"/>
      <c r="O333" s="18"/>
      <c r="P333" s="18">
        <f>O330</f>
        <v>92.857142857142861</v>
      </c>
      <c r="Q333" s="18">
        <f>(I333+P333)/2</f>
        <v>95.261904761904759</v>
      </c>
      <c r="R333" s="447" t="s">
        <v>112</v>
      </c>
      <c r="S333" s="623"/>
    </row>
    <row r="334" spans="1:19" ht="49.5" x14ac:dyDescent="0.25">
      <c r="A334" s="627"/>
      <c r="B334" s="509"/>
      <c r="C334" s="432" t="s">
        <v>36</v>
      </c>
      <c r="D334" s="34" t="s">
        <v>383</v>
      </c>
      <c r="E334" s="434"/>
      <c r="F334" s="135"/>
      <c r="G334" s="138"/>
      <c r="H334" s="436"/>
      <c r="I334" s="436"/>
      <c r="J334" s="130" t="str">
        <f>C334</f>
        <v>III</v>
      </c>
      <c r="K334" s="34" t="str">
        <f>D334</f>
        <v>Организация и проведение официальных спортивных мероприятий</v>
      </c>
      <c r="L334" s="434"/>
      <c r="M334" s="143"/>
      <c r="N334" s="143"/>
      <c r="O334" s="436"/>
      <c r="P334" s="436"/>
      <c r="Q334" s="436"/>
      <c r="R334" s="432"/>
      <c r="S334" s="623"/>
    </row>
    <row r="335" spans="1:19" ht="33" customHeight="1" x14ac:dyDescent="0.25">
      <c r="A335" s="627"/>
      <c r="B335" s="509"/>
      <c r="C335" s="434" t="s">
        <v>38</v>
      </c>
      <c r="D335" s="440" t="s">
        <v>372</v>
      </c>
      <c r="E335" s="434" t="s">
        <v>20</v>
      </c>
      <c r="F335" s="135">
        <v>1600</v>
      </c>
      <c r="G335" s="143">
        <v>1540</v>
      </c>
      <c r="H335" s="444">
        <f>IF(G335/F335*100&gt;100,100,G335/F335*100)</f>
        <v>96.25</v>
      </c>
      <c r="I335" s="436"/>
      <c r="J335" s="136" t="str">
        <f>C335</f>
        <v>3.1.</v>
      </c>
      <c r="K335" s="440" t="s">
        <v>270</v>
      </c>
      <c r="L335" s="434" t="s">
        <v>41</v>
      </c>
      <c r="M335" s="143">
        <v>16</v>
      </c>
      <c r="N335" s="143">
        <v>15</v>
      </c>
      <c r="O335" s="444">
        <f>IF(N335/M335*100&gt;110,110,N335/M335*100)</f>
        <v>93.75</v>
      </c>
      <c r="P335" s="436"/>
      <c r="Q335" s="436"/>
      <c r="R335" s="432"/>
      <c r="S335" s="623"/>
    </row>
    <row r="336" spans="1:19" ht="18.75" customHeight="1" x14ac:dyDescent="0.25">
      <c r="A336" s="627"/>
      <c r="B336" s="509"/>
      <c r="C336" s="434" t="s">
        <v>118</v>
      </c>
      <c r="D336" s="440" t="s">
        <v>381</v>
      </c>
      <c r="E336" s="19" t="s">
        <v>216</v>
      </c>
      <c r="F336" s="135">
        <v>3</v>
      </c>
      <c r="G336" s="143">
        <v>0</v>
      </c>
      <c r="H336" s="444">
        <v>100</v>
      </c>
      <c r="I336" s="436"/>
      <c r="J336" s="130"/>
      <c r="K336" s="440"/>
      <c r="L336" s="434"/>
      <c r="M336" s="143"/>
      <c r="N336" s="143"/>
      <c r="O336" s="444"/>
      <c r="P336" s="436"/>
      <c r="Q336" s="436"/>
      <c r="R336" s="432"/>
      <c r="S336" s="623"/>
    </row>
    <row r="337" spans="1:20" ht="39.75" x14ac:dyDescent="0.25">
      <c r="A337" s="627"/>
      <c r="B337" s="509"/>
      <c r="C337" s="128"/>
      <c r="D337" s="466" t="s">
        <v>644</v>
      </c>
      <c r="E337" s="20"/>
      <c r="F337" s="127"/>
      <c r="G337" s="126"/>
      <c r="H337" s="18"/>
      <c r="I337" s="18">
        <f>(H335+H336)/2</f>
        <v>98.125</v>
      </c>
      <c r="J337" s="125"/>
      <c r="K337" s="466" t="s">
        <v>644</v>
      </c>
      <c r="L337" s="20"/>
      <c r="M337" s="124"/>
      <c r="N337" s="124"/>
      <c r="O337" s="18"/>
      <c r="P337" s="18">
        <f>O335</f>
        <v>93.75</v>
      </c>
      <c r="Q337" s="18">
        <f>(I337+P337)/2</f>
        <v>95.9375</v>
      </c>
      <c r="R337" s="447" t="s">
        <v>112</v>
      </c>
      <c r="S337" s="623"/>
      <c r="T337" s="114"/>
    </row>
    <row r="338" spans="1:20" ht="66" customHeight="1" x14ac:dyDescent="0.25">
      <c r="A338" s="621">
        <v>11</v>
      </c>
      <c r="B338" s="514" t="s">
        <v>389</v>
      </c>
      <c r="C338" s="431" t="s">
        <v>13</v>
      </c>
      <c r="D338" s="59" t="s">
        <v>377</v>
      </c>
      <c r="E338" s="19"/>
      <c r="F338" s="73"/>
      <c r="G338" s="74"/>
      <c r="H338" s="35"/>
      <c r="I338" s="35"/>
      <c r="J338" s="121" t="str">
        <f>C338</f>
        <v>I</v>
      </c>
      <c r="K338" s="59" t="str">
        <f>D338</f>
        <v>Обеспечение доступа к объектам спорта</v>
      </c>
      <c r="L338" s="19"/>
      <c r="M338" s="431"/>
      <c r="N338" s="431"/>
      <c r="O338" s="35"/>
      <c r="P338" s="35"/>
      <c r="Q338" s="35"/>
      <c r="R338" s="432"/>
      <c r="S338" s="623" t="s">
        <v>15</v>
      </c>
      <c r="T338" s="504"/>
    </row>
    <row r="339" spans="1:20" ht="16.5" customHeight="1" x14ac:dyDescent="0.25">
      <c r="A339" s="621"/>
      <c r="B339" s="514"/>
      <c r="C339" s="19" t="s">
        <v>16</v>
      </c>
      <c r="D339" s="41" t="s">
        <v>336</v>
      </c>
      <c r="E339" s="19" t="s">
        <v>216</v>
      </c>
      <c r="F339" s="78">
        <v>3</v>
      </c>
      <c r="G339" s="78">
        <v>0</v>
      </c>
      <c r="H339" s="24">
        <v>100</v>
      </c>
      <c r="I339" s="35"/>
      <c r="J339" s="120" t="str">
        <f>C339</f>
        <v>1.1.</v>
      </c>
      <c r="K339" s="41" t="s">
        <v>376</v>
      </c>
      <c r="L339" s="19" t="s">
        <v>41</v>
      </c>
      <c r="M339" s="141">
        <v>4</v>
      </c>
      <c r="N339" s="141">
        <v>4</v>
      </c>
      <c r="O339" s="24">
        <f>IF(N339/M339*100&gt;110,110,N339/M339*100)</f>
        <v>100</v>
      </c>
      <c r="P339" s="35"/>
      <c r="Q339" s="35"/>
      <c r="R339" s="432"/>
      <c r="S339" s="623"/>
    </row>
    <row r="340" spans="1:20" ht="110.25" customHeight="1" x14ac:dyDescent="0.25">
      <c r="A340" s="621"/>
      <c r="B340" s="514"/>
      <c r="C340" s="19" t="s">
        <v>21</v>
      </c>
      <c r="D340" s="41" t="s">
        <v>375</v>
      </c>
      <c r="E340" s="19" t="s">
        <v>18</v>
      </c>
      <c r="F340" s="78">
        <v>95</v>
      </c>
      <c r="G340" s="24">
        <v>95</v>
      </c>
      <c r="H340" s="24">
        <f>IF(G340/F340*100&gt;100,100,G340/F340*100)</f>
        <v>100</v>
      </c>
      <c r="I340" s="35"/>
      <c r="J340" s="120"/>
      <c r="K340" s="41"/>
      <c r="L340" s="19"/>
      <c r="M340" s="96"/>
      <c r="N340" s="96"/>
      <c r="O340" s="24"/>
      <c r="P340" s="35"/>
      <c r="Q340" s="35"/>
      <c r="R340" s="432"/>
      <c r="S340" s="623"/>
      <c r="T340" s="504"/>
    </row>
    <row r="341" spans="1:20" ht="114" customHeight="1" x14ac:dyDescent="0.25">
      <c r="A341" s="621"/>
      <c r="B341" s="514"/>
      <c r="C341" s="19" t="s">
        <v>23</v>
      </c>
      <c r="D341" s="41" t="s">
        <v>388</v>
      </c>
      <c r="E341" s="19" t="s">
        <v>18</v>
      </c>
      <c r="F341" s="78">
        <v>98</v>
      </c>
      <c r="G341" s="24">
        <v>98</v>
      </c>
      <c r="H341" s="24">
        <f>IF(G341/F341*100&gt;100,100,G341/F341*100)</f>
        <v>100</v>
      </c>
      <c r="I341" s="35"/>
      <c r="J341" s="120"/>
      <c r="K341" s="41"/>
      <c r="L341" s="19"/>
      <c r="M341" s="96"/>
      <c r="N341" s="96"/>
      <c r="O341" s="24"/>
      <c r="P341" s="35"/>
      <c r="Q341" s="35"/>
      <c r="R341" s="432"/>
      <c r="S341" s="623"/>
      <c r="T341" s="504"/>
    </row>
    <row r="342" spans="1:20" ht="39.75" x14ac:dyDescent="0.25">
      <c r="A342" s="621"/>
      <c r="B342" s="514"/>
      <c r="C342" s="128"/>
      <c r="D342" s="466" t="s">
        <v>644</v>
      </c>
      <c r="E342" s="20"/>
      <c r="F342" s="127"/>
      <c r="G342" s="126"/>
      <c r="H342" s="18"/>
      <c r="I342" s="18">
        <f>(H339+H340+H341)/3</f>
        <v>100</v>
      </c>
      <c r="J342" s="125"/>
      <c r="K342" s="466" t="s">
        <v>644</v>
      </c>
      <c r="L342" s="20"/>
      <c r="M342" s="124"/>
      <c r="N342" s="124"/>
      <c r="O342" s="18"/>
      <c r="P342" s="18">
        <f>O339</f>
        <v>100</v>
      </c>
      <c r="Q342" s="18">
        <f>(I342+P342)/2</f>
        <v>100</v>
      </c>
      <c r="R342" s="447" t="s">
        <v>25</v>
      </c>
      <c r="S342" s="623"/>
      <c r="T342" s="114"/>
    </row>
    <row r="343" spans="1:20" ht="49.5" x14ac:dyDescent="0.25">
      <c r="A343" s="621"/>
      <c r="B343" s="514"/>
      <c r="C343" s="431" t="s">
        <v>26</v>
      </c>
      <c r="D343" s="59" t="s">
        <v>383</v>
      </c>
      <c r="E343" s="19"/>
      <c r="F343" s="78"/>
      <c r="G343" s="122"/>
      <c r="H343" s="35"/>
      <c r="I343" s="35"/>
      <c r="J343" s="121" t="str">
        <f>C343</f>
        <v>II</v>
      </c>
      <c r="K343" s="59" t="str">
        <f>D343</f>
        <v>Организация и проведение официальных спортивных мероприятий</v>
      </c>
      <c r="L343" s="19"/>
      <c r="M343" s="431"/>
      <c r="N343" s="431"/>
      <c r="O343" s="35"/>
      <c r="P343" s="35"/>
      <c r="Q343" s="35"/>
      <c r="R343" s="432"/>
      <c r="S343" s="623"/>
    </row>
    <row r="344" spans="1:20" ht="33" x14ac:dyDescent="0.25">
      <c r="A344" s="621"/>
      <c r="B344" s="514"/>
      <c r="C344" s="19" t="s">
        <v>28</v>
      </c>
      <c r="D344" s="41" t="s">
        <v>372</v>
      </c>
      <c r="E344" s="19" t="s">
        <v>20</v>
      </c>
      <c r="F344" s="78">
        <v>300</v>
      </c>
      <c r="G344" s="141">
        <v>300</v>
      </c>
      <c r="H344" s="24">
        <f>IF(G344/F344*100&gt;100,100,G344/F344*100)</f>
        <v>100</v>
      </c>
      <c r="I344" s="35"/>
      <c r="J344" s="120" t="str">
        <f>C344</f>
        <v>2.1.</v>
      </c>
      <c r="K344" s="41" t="s">
        <v>270</v>
      </c>
      <c r="L344" s="19" t="s">
        <v>41</v>
      </c>
      <c r="M344" s="19">
        <v>3</v>
      </c>
      <c r="N344" s="19">
        <v>3</v>
      </c>
      <c r="O344" s="24">
        <f>IF(N344/M344*100&gt;110,110,N344/M344*100)</f>
        <v>100</v>
      </c>
      <c r="P344" s="35"/>
      <c r="Q344" s="35"/>
      <c r="R344" s="432"/>
      <c r="S344" s="623"/>
      <c r="T344" s="504"/>
    </row>
    <row r="345" spans="1:20" ht="55.5" customHeight="1" x14ac:dyDescent="0.25">
      <c r="A345" s="621"/>
      <c r="B345" s="514"/>
      <c r="C345" s="19" t="s">
        <v>30</v>
      </c>
      <c r="D345" s="41" t="s">
        <v>381</v>
      </c>
      <c r="E345" s="19" t="s">
        <v>216</v>
      </c>
      <c r="F345" s="78">
        <v>3</v>
      </c>
      <c r="G345" s="141">
        <v>0</v>
      </c>
      <c r="H345" s="24">
        <v>100</v>
      </c>
      <c r="I345" s="35"/>
      <c r="J345" s="121"/>
      <c r="K345" s="41"/>
      <c r="L345" s="19"/>
      <c r="M345" s="19"/>
      <c r="N345" s="19"/>
      <c r="O345" s="24"/>
      <c r="P345" s="35"/>
      <c r="Q345" s="35"/>
      <c r="R345" s="432"/>
      <c r="S345" s="623"/>
      <c r="T345" s="504"/>
    </row>
    <row r="346" spans="1:20" ht="39.75" x14ac:dyDescent="0.25">
      <c r="A346" s="621"/>
      <c r="B346" s="514"/>
      <c r="C346" s="128"/>
      <c r="D346" s="466" t="s">
        <v>644</v>
      </c>
      <c r="E346" s="20"/>
      <c r="F346" s="127"/>
      <c r="G346" s="126"/>
      <c r="H346" s="18"/>
      <c r="I346" s="18">
        <f>(H344+H345)/2</f>
        <v>100</v>
      </c>
      <c r="J346" s="125"/>
      <c r="K346" s="466" t="s">
        <v>644</v>
      </c>
      <c r="L346" s="20"/>
      <c r="M346" s="124"/>
      <c r="N346" s="124"/>
      <c r="O346" s="18"/>
      <c r="P346" s="18">
        <f>O344</f>
        <v>100</v>
      </c>
      <c r="Q346" s="18">
        <f>(I346+P346)/2</f>
        <v>100</v>
      </c>
      <c r="R346" s="447" t="s">
        <v>25</v>
      </c>
      <c r="S346" s="623"/>
      <c r="T346" s="114"/>
    </row>
    <row r="347" spans="1:20" ht="81" customHeight="1" x14ac:dyDescent="0.25">
      <c r="A347" s="621"/>
      <c r="B347" s="514"/>
      <c r="C347" s="431" t="s">
        <v>36</v>
      </c>
      <c r="D347" s="59" t="s">
        <v>371</v>
      </c>
      <c r="E347" s="19"/>
      <c r="F347" s="78"/>
      <c r="G347" s="141"/>
      <c r="H347" s="35"/>
      <c r="I347" s="35"/>
      <c r="J347" s="121" t="str">
        <f>C347</f>
        <v>III</v>
      </c>
      <c r="K347" s="59" t="str">
        <f>D347</f>
        <v>Организация и проведение официальных физкультурных (физкультурно-оздоровительных) мероприятий</v>
      </c>
      <c r="L347" s="19"/>
      <c r="M347" s="431"/>
      <c r="N347" s="431"/>
      <c r="O347" s="35"/>
      <c r="P347" s="35"/>
      <c r="Q347" s="35"/>
      <c r="R347" s="432"/>
      <c r="S347" s="623"/>
      <c r="T347" s="504"/>
    </row>
    <row r="348" spans="1:20" ht="55.5" customHeight="1" x14ac:dyDescent="0.25">
      <c r="A348" s="621"/>
      <c r="B348" s="514"/>
      <c r="C348" s="19" t="s">
        <v>38</v>
      </c>
      <c r="D348" s="41" t="s">
        <v>370</v>
      </c>
      <c r="E348" s="19" t="s">
        <v>20</v>
      </c>
      <c r="F348" s="78">
        <v>300</v>
      </c>
      <c r="G348" s="19">
        <v>421</v>
      </c>
      <c r="H348" s="24">
        <f>IF(G348/F348*100&gt;100,100,G348/F348*100)</f>
        <v>100</v>
      </c>
      <c r="I348" s="35"/>
      <c r="J348" s="120" t="str">
        <f>C348</f>
        <v>3.1.</v>
      </c>
      <c r="K348" s="41" t="s">
        <v>270</v>
      </c>
      <c r="L348" s="19" t="s">
        <v>41</v>
      </c>
      <c r="M348" s="19">
        <v>1</v>
      </c>
      <c r="N348" s="19">
        <v>1</v>
      </c>
      <c r="O348" s="24">
        <f>IF(N348/M348*100&gt;110,110,N348/M348*100)</f>
        <v>100</v>
      </c>
      <c r="P348" s="35"/>
      <c r="Q348" s="35"/>
      <c r="R348" s="432"/>
      <c r="S348" s="623"/>
      <c r="T348" s="504"/>
    </row>
    <row r="349" spans="1:20" ht="39" customHeight="1" x14ac:dyDescent="0.25">
      <c r="A349" s="621"/>
      <c r="B349" s="514"/>
      <c r="C349" s="19" t="s">
        <v>118</v>
      </c>
      <c r="D349" s="41" t="s">
        <v>381</v>
      </c>
      <c r="E349" s="19" t="s">
        <v>216</v>
      </c>
      <c r="F349" s="78">
        <v>3</v>
      </c>
      <c r="G349" s="19">
        <v>0</v>
      </c>
      <c r="H349" s="24">
        <v>100</v>
      </c>
      <c r="I349" s="35"/>
      <c r="J349" s="121"/>
      <c r="K349" s="41"/>
      <c r="L349" s="19"/>
      <c r="M349" s="19"/>
      <c r="N349" s="19"/>
      <c r="O349" s="24"/>
      <c r="P349" s="35"/>
      <c r="Q349" s="35"/>
      <c r="R349" s="432"/>
      <c r="S349" s="623"/>
    </row>
    <row r="350" spans="1:20" ht="39.75" x14ac:dyDescent="0.25">
      <c r="A350" s="622"/>
      <c r="B350" s="514"/>
      <c r="C350" s="20"/>
      <c r="D350" s="466" t="s">
        <v>644</v>
      </c>
      <c r="E350" s="20"/>
      <c r="F350" s="127"/>
      <c r="G350" s="140"/>
      <c r="H350" s="18"/>
      <c r="I350" s="18">
        <f>(H348+H349)/2</f>
        <v>100</v>
      </c>
      <c r="J350" s="125"/>
      <c r="K350" s="466" t="s">
        <v>644</v>
      </c>
      <c r="L350" s="20"/>
      <c r="M350" s="20"/>
      <c r="N350" s="20"/>
      <c r="O350" s="18"/>
      <c r="P350" s="18">
        <f>O348</f>
        <v>100</v>
      </c>
      <c r="Q350" s="18">
        <f>(I350+P350)/2</f>
        <v>100</v>
      </c>
      <c r="R350" s="447" t="s">
        <v>25</v>
      </c>
      <c r="S350" s="623"/>
    </row>
    <row r="351" spans="1:20" ht="66" customHeight="1" x14ac:dyDescent="0.25">
      <c r="A351" s="620">
        <v>12</v>
      </c>
      <c r="B351" s="508" t="s">
        <v>386</v>
      </c>
      <c r="C351" s="431" t="s">
        <v>13</v>
      </c>
      <c r="D351" s="59" t="s">
        <v>379</v>
      </c>
      <c r="E351" s="431"/>
      <c r="F351" s="73"/>
      <c r="G351" s="74"/>
      <c r="H351" s="35"/>
      <c r="I351" s="35"/>
      <c r="J351" s="121" t="s">
        <v>13</v>
      </c>
      <c r="K351" s="59" t="str">
        <f>D351</f>
        <v>Организация физкультурно-спортивной работы по месту жительства граждан</v>
      </c>
      <c r="L351" s="431"/>
      <c r="M351" s="431"/>
      <c r="N351" s="431"/>
      <c r="O351" s="35"/>
      <c r="P351" s="35"/>
      <c r="Q351" s="35"/>
      <c r="R351" s="432"/>
      <c r="S351" s="623" t="s">
        <v>48</v>
      </c>
    </row>
    <row r="352" spans="1:20" ht="18.75" customHeight="1" x14ac:dyDescent="0.25">
      <c r="A352" s="621"/>
      <c r="B352" s="509"/>
      <c r="C352" s="129" t="s">
        <v>16</v>
      </c>
      <c r="D352" s="41" t="s">
        <v>336</v>
      </c>
      <c r="E352" s="19" t="s">
        <v>216</v>
      </c>
      <c r="F352" s="78">
        <v>3</v>
      </c>
      <c r="G352" s="78">
        <v>0</v>
      </c>
      <c r="H352" s="24">
        <v>100</v>
      </c>
      <c r="I352" s="35"/>
      <c r="J352" s="120" t="s">
        <v>16</v>
      </c>
      <c r="K352" s="41" t="s">
        <v>378</v>
      </c>
      <c r="L352" s="19" t="s">
        <v>41</v>
      </c>
      <c r="M352" s="19">
        <v>2160</v>
      </c>
      <c r="N352" s="19">
        <v>1965</v>
      </c>
      <c r="O352" s="24">
        <f>IF(N352/M352*100&gt;110,110,N352/M352*100)</f>
        <v>90.972222222222214</v>
      </c>
      <c r="P352" s="431"/>
      <c r="Q352" s="35"/>
      <c r="R352" s="432"/>
      <c r="S352" s="623"/>
    </row>
    <row r="353" spans="1:19" ht="51.75" customHeight="1" x14ac:dyDescent="0.25">
      <c r="A353" s="621"/>
      <c r="B353" s="509"/>
      <c r="C353" s="128"/>
      <c r="D353" s="466" t="s">
        <v>644</v>
      </c>
      <c r="E353" s="20"/>
      <c r="F353" s="127"/>
      <c r="G353" s="126"/>
      <c r="H353" s="18"/>
      <c r="I353" s="18">
        <f>H352</f>
        <v>100</v>
      </c>
      <c r="J353" s="125"/>
      <c r="K353" s="466" t="s">
        <v>644</v>
      </c>
      <c r="L353" s="20"/>
      <c r="M353" s="124"/>
      <c r="N353" s="124"/>
      <c r="O353" s="18"/>
      <c r="P353" s="18">
        <f>O352</f>
        <v>90.972222222222214</v>
      </c>
      <c r="Q353" s="18">
        <f>(I353+P353)/2</f>
        <v>95.486111111111114</v>
      </c>
      <c r="R353" s="447" t="s">
        <v>112</v>
      </c>
      <c r="S353" s="623"/>
    </row>
    <row r="354" spans="1:19" ht="33" x14ac:dyDescent="0.25">
      <c r="A354" s="621"/>
      <c r="B354" s="509"/>
      <c r="C354" s="431" t="s">
        <v>26</v>
      </c>
      <c r="D354" s="59" t="s">
        <v>377</v>
      </c>
      <c r="E354" s="19"/>
      <c r="F354" s="78"/>
      <c r="G354" s="122"/>
      <c r="H354" s="35"/>
      <c r="I354" s="35"/>
      <c r="J354" s="121" t="str">
        <f>C354</f>
        <v>II</v>
      </c>
      <c r="K354" s="59" t="str">
        <f>D354</f>
        <v>Обеспечение доступа к объектам спорта</v>
      </c>
      <c r="L354" s="431"/>
      <c r="M354" s="431"/>
      <c r="N354" s="123"/>
      <c r="O354" s="35"/>
      <c r="P354" s="35"/>
      <c r="Q354" s="35"/>
      <c r="R354" s="432"/>
      <c r="S354" s="623"/>
    </row>
    <row r="355" spans="1:19" ht="16.5" customHeight="1" x14ac:dyDescent="0.25">
      <c r="A355" s="621"/>
      <c r="B355" s="509"/>
      <c r="C355" s="19" t="s">
        <v>28</v>
      </c>
      <c r="D355" s="41" t="s">
        <v>336</v>
      </c>
      <c r="E355" s="19" t="s">
        <v>216</v>
      </c>
      <c r="F355" s="78">
        <v>3</v>
      </c>
      <c r="G355" s="78">
        <v>0</v>
      </c>
      <c r="H355" s="24">
        <v>100</v>
      </c>
      <c r="I355" s="35"/>
      <c r="J355" s="120" t="str">
        <f>C355</f>
        <v>2.1.</v>
      </c>
      <c r="K355" s="41" t="s">
        <v>376</v>
      </c>
      <c r="L355" s="19" t="s">
        <v>41</v>
      </c>
      <c r="M355" s="19">
        <v>24</v>
      </c>
      <c r="N355" s="70">
        <v>24</v>
      </c>
      <c r="O355" s="24">
        <f>IF(N355/M355*100&gt;110,110,N355/M355*100)</f>
        <v>100</v>
      </c>
      <c r="P355" s="397"/>
      <c r="Q355" s="35"/>
      <c r="R355" s="432"/>
      <c r="S355" s="623"/>
    </row>
    <row r="356" spans="1:19" ht="130.5" customHeight="1" x14ac:dyDescent="0.25">
      <c r="A356" s="621"/>
      <c r="B356" s="509"/>
      <c r="C356" s="19" t="s">
        <v>30</v>
      </c>
      <c r="D356" s="41" t="s">
        <v>384</v>
      </c>
      <c r="E356" s="19" t="s">
        <v>18</v>
      </c>
      <c r="F356" s="78">
        <v>98</v>
      </c>
      <c r="G356" s="24">
        <v>98</v>
      </c>
      <c r="H356" s="24">
        <f>IF(G356/F356*100&gt;100,100,G356/F356*100)</f>
        <v>100</v>
      </c>
      <c r="I356" s="35"/>
      <c r="J356" s="120"/>
      <c r="K356" s="41"/>
      <c r="L356" s="19"/>
      <c r="M356" s="19"/>
      <c r="N356" s="133"/>
      <c r="O356" s="24"/>
      <c r="P356" s="397"/>
      <c r="Q356" s="35"/>
      <c r="R356" s="432"/>
      <c r="S356" s="623"/>
    </row>
    <row r="357" spans="1:19" ht="110.25" customHeight="1" x14ac:dyDescent="0.25">
      <c r="A357" s="621"/>
      <c r="B357" s="509"/>
      <c r="C357" s="19" t="s">
        <v>34</v>
      </c>
      <c r="D357" s="41" t="s">
        <v>374</v>
      </c>
      <c r="E357" s="19" t="s">
        <v>18</v>
      </c>
      <c r="F357" s="78">
        <v>98</v>
      </c>
      <c r="G357" s="24">
        <v>98</v>
      </c>
      <c r="H357" s="24">
        <f>IF(G357/F357*100&gt;100,100,G357/F357*100)</f>
        <v>100</v>
      </c>
      <c r="I357" s="35"/>
      <c r="J357" s="121"/>
      <c r="K357" s="41"/>
      <c r="L357" s="19"/>
      <c r="M357" s="19"/>
      <c r="N357" s="70"/>
      <c r="O357" s="24"/>
      <c r="P357" s="397"/>
      <c r="Q357" s="35"/>
      <c r="R357" s="432"/>
      <c r="S357" s="623"/>
    </row>
    <row r="358" spans="1:19" ht="39.75" x14ac:dyDescent="0.25">
      <c r="A358" s="622"/>
      <c r="B358" s="510"/>
      <c r="C358" s="20"/>
      <c r="D358" s="466" t="s">
        <v>644</v>
      </c>
      <c r="E358" s="20"/>
      <c r="F358" s="127"/>
      <c r="G358" s="140"/>
      <c r="H358" s="18"/>
      <c r="I358" s="18">
        <f>(H355+H356+H357)/3</f>
        <v>100</v>
      </c>
      <c r="J358" s="125"/>
      <c r="K358" s="466" t="s">
        <v>644</v>
      </c>
      <c r="L358" s="20"/>
      <c r="M358" s="140"/>
      <c r="N358" s="140"/>
      <c r="O358" s="18"/>
      <c r="P358" s="18">
        <f>O355</f>
        <v>100</v>
      </c>
      <c r="Q358" s="18">
        <f>(I358+P358)/2</f>
        <v>100</v>
      </c>
      <c r="R358" s="447" t="s">
        <v>25</v>
      </c>
      <c r="S358" s="623"/>
    </row>
    <row r="359" spans="1:19" ht="66" customHeight="1" x14ac:dyDescent="0.25">
      <c r="A359" s="620">
        <v>13</v>
      </c>
      <c r="B359" s="508" t="s">
        <v>385</v>
      </c>
      <c r="C359" s="432" t="s">
        <v>13</v>
      </c>
      <c r="D359" s="34" t="s">
        <v>379</v>
      </c>
      <c r="E359" s="432"/>
      <c r="F359" s="66"/>
      <c r="G359" s="132"/>
      <c r="H359" s="436"/>
      <c r="I359" s="436"/>
      <c r="J359" s="130" t="s">
        <v>13</v>
      </c>
      <c r="K359" s="34" t="str">
        <f>D359</f>
        <v>Организация физкультурно-спортивной работы по месту жительства граждан</v>
      </c>
      <c r="L359" s="432"/>
      <c r="M359" s="432"/>
      <c r="N359" s="432"/>
      <c r="O359" s="436"/>
      <c r="P359" s="436"/>
      <c r="Q359" s="436"/>
      <c r="R359" s="432"/>
      <c r="S359" s="623" t="s">
        <v>15</v>
      </c>
    </row>
    <row r="360" spans="1:19" ht="18.75" customHeight="1" x14ac:dyDescent="0.25">
      <c r="A360" s="621"/>
      <c r="B360" s="509"/>
      <c r="C360" s="139" t="s">
        <v>16</v>
      </c>
      <c r="D360" s="440" t="s">
        <v>336</v>
      </c>
      <c r="E360" s="434" t="s">
        <v>216</v>
      </c>
      <c r="F360" s="135">
        <v>3</v>
      </c>
      <c r="G360" s="135">
        <v>0</v>
      </c>
      <c r="H360" s="444">
        <v>100</v>
      </c>
      <c r="I360" s="436"/>
      <c r="J360" s="136" t="s">
        <v>16</v>
      </c>
      <c r="K360" s="440" t="s">
        <v>378</v>
      </c>
      <c r="L360" s="434" t="s">
        <v>41</v>
      </c>
      <c r="M360" s="434">
        <v>3781</v>
      </c>
      <c r="N360" s="434">
        <v>3781</v>
      </c>
      <c r="O360" s="444">
        <f>IF(N360/M360*100&gt;110,110,N360/M360*100)</f>
        <v>100</v>
      </c>
      <c r="P360" s="432"/>
      <c r="Q360" s="436"/>
      <c r="R360" s="432"/>
      <c r="S360" s="623"/>
    </row>
    <row r="361" spans="1:19" ht="35.25" customHeight="1" x14ac:dyDescent="0.25">
      <c r="A361" s="621"/>
      <c r="B361" s="509"/>
      <c r="C361" s="447"/>
      <c r="D361" s="466" t="s">
        <v>644</v>
      </c>
      <c r="E361" s="447"/>
      <c r="F361" s="447"/>
      <c r="G361" s="447"/>
      <c r="H361" s="447"/>
      <c r="I361" s="18">
        <f>H360</f>
        <v>100</v>
      </c>
      <c r="J361" s="447"/>
      <c r="K361" s="466" t="s">
        <v>644</v>
      </c>
      <c r="L361" s="447"/>
      <c r="M361" s="447"/>
      <c r="N361" s="447"/>
      <c r="O361" s="447"/>
      <c r="P361" s="18">
        <f>O360</f>
        <v>100</v>
      </c>
      <c r="Q361" s="18">
        <f>(I361+P361)/2</f>
        <v>100</v>
      </c>
      <c r="R361" s="447" t="s">
        <v>25</v>
      </c>
      <c r="S361" s="623"/>
    </row>
    <row r="362" spans="1:19" ht="33" x14ac:dyDescent="0.25">
      <c r="A362" s="621"/>
      <c r="B362" s="509"/>
      <c r="C362" s="432" t="s">
        <v>26</v>
      </c>
      <c r="D362" s="34" t="s">
        <v>377</v>
      </c>
      <c r="E362" s="434"/>
      <c r="F362" s="135"/>
      <c r="G362" s="138"/>
      <c r="H362" s="436"/>
      <c r="I362" s="436"/>
      <c r="J362" s="130" t="str">
        <f>C362</f>
        <v>II</v>
      </c>
      <c r="K362" s="34" t="str">
        <f>D362</f>
        <v>Обеспечение доступа к объектам спорта</v>
      </c>
      <c r="L362" s="432"/>
      <c r="M362" s="432"/>
      <c r="N362" s="137"/>
      <c r="O362" s="436"/>
      <c r="P362" s="436"/>
      <c r="Q362" s="436"/>
      <c r="R362" s="432"/>
      <c r="S362" s="623"/>
    </row>
    <row r="363" spans="1:19" ht="16.5" customHeight="1" x14ac:dyDescent="0.25">
      <c r="A363" s="621"/>
      <c r="B363" s="509"/>
      <c r="C363" s="434" t="s">
        <v>28</v>
      </c>
      <c r="D363" s="440" t="s">
        <v>336</v>
      </c>
      <c r="E363" s="434" t="s">
        <v>216</v>
      </c>
      <c r="F363" s="135">
        <v>3</v>
      </c>
      <c r="G363" s="135">
        <v>0</v>
      </c>
      <c r="H363" s="444">
        <v>100</v>
      </c>
      <c r="I363" s="436"/>
      <c r="J363" s="136" t="str">
        <f>C363</f>
        <v>2.1.</v>
      </c>
      <c r="K363" s="440" t="s">
        <v>376</v>
      </c>
      <c r="L363" s="434" t="s">
        <v>41</v>
      </c>
      <c r="M363" s="434">
        <v>44</v>
      </c>
      <c r="N363" s="133">
        <v>44</v>
      </c>
      <c r="O363" s="444">
        <f>IF(N363/M363*100&gt;110,110,N363/M363*100)</f>
        <v>100</v>
      </c>
      <c r="P363" s="398"/>
      <c r="Q363" s="436"/>
      <c r="R363" s="432"/>
      <c r="S363" s="623"/>
    </row>
    <row r="364" spans="1:19" ht="115.5" x14ac:dyDescent="0.25">
      <c r="A364" s="621"/>
      <c r="B364" s="509"/>
      <c r="C364" s="434" t="s">
        <v>30</v>
      </c>
      <c r="D364" s="440" t="s">
        <v>384</v>
      </c>
      <c r="E364" s="434" t="s">
        <v>18</v>
      </c>
      <c r="F364" s="135">
        <v>98</v>
      </c>
      <c r="G364" s="134">
        <v>98</v>
      </c>
      <c r="H364" s="134">
        <f>IF(G364/F364*100&gt;100,100,G364/F364*100)</f>
        <v>100</v>
      </c>
      <c r="I364" s="436"/>
      <c r="J364" s="130"/>
      <c r="K364" s="440"/>
      <c r="L364" s="434"/>
      <c r="M364" s="434"/>
      <c r="N364" s="133"/>
      <c r="O364" s="444"/>
      <c r="P364" s="398"/>
      <c r="Q364" s="436"/>
      <c r="R364" s="432"/>
      <c r="S364" s="623"/>
    </row>
    <row r="365" spans="1:19" ht="109.5" customHeight="1" x14ac:dyDescent="0.25">
      <c r="A365" s="621"/>
      <c r="B365" s="509"/>
      <c r="C365" s="434" t="s">
        <v>34</v>
      </c>
      <c r="D365" s="440" t="s">
        <v>374</v>
      </c>
      <c r="E365" s="434" t="s">
        <v>18</v>
      </c>
      <c r="F365" s="135">
        <v>98</v>
      </c>
      <c r="G365" s="134">
        <v>98</v>
      </c>
      <c r="H365" s="134">
        <f>IF(G365/F365*100&gt;100,100,G365/F365*100)</f>
        <v>100</v>
      </c>
      <c r="I365" s="436"/>
      <c r="J365" s="130"/>
      <c r="K365" s="440"/>
      <c r="L365" s="434"/>
      <c r="M365" s="434"/>
      <c r="N365" s="133"/>
      <c r="O365" s="444"/>
      <c r="P365" s="398"/>
      <c r="Q365" s="436"/>
      <c r="R365" s="432"/>
      <c r="S365" s="623"/>
    </row>
    <row r="366" spans="1:19" ht="39.75" x14ac:dyDescent="0.25">
      <c r="A366" s="621"/>
      <c r="B366" s="509"/>
      <c r="C366" s="447"/>
      <c r="D366" s="466" t="s">
        <v>644</v>
      </c>
      <c r="E366" s="447"/>
      <c r="F366" s="447"/>
      <c r="G366" s="447"/>
      <c r="H366" s="447"/>
      <c r="I366" s="18">
        <f>(H363+H364+H365)/3</f>
        <v>100</v>
      </c>
      <c r="J366" s="447"/>
      <c r="K366" s="466" t="s">
        <v>644</v>
      </c>
      <c r="L366" s="447"/>
      <c r="M366" s="447"/>
      <c r="N366" s="447"/>
      <c r="O366" s="447"/>
      <c r="P366" s="18">
        <f>O363</f>
        <v>100</v>
      </c>
      <c r="Q366" s="18">
        <f>(I366+P366)/2</f>
        <v>100</v>
      </c>
      <c r="R366" s="447" t="s">
        <v>25</v>
      </c>
      <c r="S366" s="623"/>
    </row>
    <row r="367" spans="1:19" ht="49.5" x14ac:dyDescent="0.25">
      <c r="A367" s="621"/>
      <c r="B367" s="509"/>
      <c r="C367" s="432" t="s">
        <v>36</v>
      </c>
      <c r="D367" s="34" t="s">
        <v>383</v>
      </c>
      <c r="E367" s="434"/>
      <c r="F367" s="66"/>
      <c r="G367" s="132"/>
      <c r="H367" s="436"/>
      <c r="I367" s="436"/>
      <c r="J367" s="130"/>
      <c r="K367" s="34" t="str">
        <f>D367</f>
        <v>Организация и проведение официальных спортивных мероприятий</v>
      </c>
      <c r="L367" s="432"/>
      <c r="M367" s="434"/>
      <c r="N367" s="434"/>
      <c r="O367" s="444"/>
      <c r="P367" s="436"/>
      <c r="Q367" s="436"/>
      <c r="R367" s="432"/>
      <c r="S367" s="623"/>
    </row>
    <row r="368" spans="1:19" ht="16.5" customHeight="1" x14ac:dyDescent="0.25">
      <c r="A368" s="621"/>
      <c r="B368" s="509"/>
      <c r="C368" s="434" t="s">
        <v>38</v>
      </c>
      <c r="D368" s="440" t="s">
        <v>382</v>
      </c>
      <c r="E368" s="19" t="s">
        <v>20</v>
      </c>
      <c r="F368" s="78">
        <v>200</v>
      </c>
      <c r="G368" s="78">
        <v>471</v>
      </c>
      <c r="H368" s="24">
        <f>IF(G368/F368*100&gt;100,100,G368/F368*100)</f>
        <v>100</v>
      </c>
      <c r="I368" s="436"/>
      <c r="J368" s="130" t="str">
        <f>C368</f>
        <v>3.1.</v>
      </c>
      <c r="K368" s="440" t="s">
        <v>270</v>
      </c>
      <c r="L368" s="434" t="s">
        <v>41</v>
      </c>
      <c r="M368" s="434">
        <v>4</v>
      </c>
      <c r="N368" s="434">
        <v>4</v>
      </c>
      <c r="O368" s="444">
        <f>IF(N368/M368*100&gt;110,110,N368/M368*100)</f>
        <v>100</v>
      </c>
      <c r="P368" s="436"/>
      <c r="Q368" s="436"/>
      <c r="R368" s="432"/>
      <c r="S368" s="623"/>
    </row>
    <row r="369" spans="1:19" ht="18.75" customHeight="1" x14ac:dyDescent="0.25">
      <c r="A369" s="621"/>
      <c r="B369" s="509"/>
      <c r="C369" s="434" t="s">
        <v>118</v>
      </c>
      <c r="D369" s="440" t="s">
        <v>381</v>
      </c>
      <c r="E369" s="19" t="s">
        <v>216</v>
      </c>
      <c r="F369" s="78">
        <v>3</v>
      </c>
      <c r="G369" s="131">
        <v>0</v>
      </c>
      <c r="H369" s="24">
        <v>100</v>
      </c>
      <c r="I369" s="436"/>
      <c r="J369" s="130"/>
      <c r="K369" s="34"/>
      <c r="L369" s="432"/>
      <c r="M369" s="432"/>
      <c r="N369" s="432"/>
      <c r="O369" s="436"/>
      <c r="P369" s="436"/>
      <c r="Q369" s="436"/>
      <c r="R369" s="432"/>
      <c r="S369" s="623"/>
    </row>
    <row r="370" spans="1:19" ht="39.75" x14ac:dyDescent="0.25">
      <c r="A370" s="622"/>
      <c r="B370" s="510"/>
      <c r="C370" s="128"/>
      <c r="D370" s="466" t="s">
        <v>644</v>
      </c>
      <c r="E370" s="20"/>
      <c r="F370" s="127"/>
      <c r="G370" s="126"/>
      <c r="H370" s="18"/>
      <c r="I370" s="18">
        <f>(H368+H369)/2</f>
        <v>100</v>
      </c>
      <c r="J370" s="125"/>
      <c r="K370" s="466" t="s">
        <v>644</v>
      </c>
      <c r="L370" s="20"/>
      <c r="M370" s="124"/>
      <c r="N370" s="124"/>
      <c r="O370" s="18"/>
      <c r="P370" s="18">
        <f>O368</f>
        <v>100</v>
      </c>
      <c r="Q370" s="18">
        <f>(I370+P370)/2</f>
        <v>100</v>
      </c>
      <c r="R370" s="447" t="s">
        <v>25</v>
      </c>
      <c r="S370" s="623"/>
    </row>
    <row r="371" spans="1:19" ht="49.5" x14ac:dyDescent="0.25">
      <c r="A371" s="624">
        <v>14</v>
      </c>
      <c r="B371" s="514" t="s">
        <v>380</v>
      </c>
      <c r="C371" s="431" t="s">
        <v>13</v>
      </c>
      <c r="D371" s="59" t="s">
        <v>379</v>
      </c>
      <c r="E371" s="431"/>
      <c r="F371" s="73"/>
      <c r="G371" s="74"/>
      <c r="H371" s="35"/>
      <c r="I371" s="35"/>
      <c r="J371" s="121" t="s">
        <v>13</v>
      </c>
      <c r="K371" s="59" t="str">
        <f>D371</f>
        <v>Организация физкультурно-спортивной работы по месту жительства граждан</v>
      </c>
      <c r="L371" s="431"/>
      <c r="M371" s="431"/>
      <c r="N371" s="431"/>
      <c r="O371" s="35"/>
      <c r="P371" s="35"/>
      <c r="Q371" s="35"/>
      <c r="R371" s="432"/>
      <c r="S371" s="623" t="s">
        <v>104</v>
      </c>
    </row>
    <row r="372" spans="1:19" ht="18.75" customHeight="1" x14ac:dyDescent="0.25">
      <c r="A372" s="624"/>
      <c r="B372" s="514"/>
      <c r="C372" s="129" t="s">
        <v>16</v>
      </c>
      <c r="D372" s="41" t="s">
        <v>336</v>
      </c>
      <c r="E372" s="19" t="s">
        <v>216</v>
      </c>
      <c r="F372" s="78">
        <v>3</v>
      </c>
      <c r="G372" s="19">
        <v>0</v>
      </c>
      <c r="H372" s="24">
        <v>100</v>
      </c>
      <c r="I372" s="35"/>
      <c r="J372" s="120" t="s">
        <v>16</v>
      </c>
      <c r="K372" s="41" t="s">
        <v>378</v>
      </c>
      <c r="L372" s="19" t="s">
        <v>41</v>
      </c>
      <c r="M372" s="19">
        <v>420</v>
      </c>
      <c r="N372" s="19">
        <v>420</v>
      </c>
      <c r="O372" s="24">
        <f>IF(N372/M372*100&gt;110,110,N372/M372*100)</f>
        <v>100</v>
      </c>
      <c r="P372" s="431"/>
      <c r="Q372" s="35"/>
      <c r="R372" s="432"/>
      <c r="S372" s="623"/>
    </row>
    <row r="373" spans="1:19" ht="39.75" x14ac:dyDescent="0.25">
      <c r="A373" s="624"/>
      <c r="B373" s="514"/>
      <c r="C373" s="128"/>
      <c r="D373" s="466" t="s">
        <v>644</v>
      </c>
      <c r="E373" s="20"/>
      <c r="F373" s="127"/>
      <c r="G373" s="126"/>
      <c r="H373" s="18"/>
      <c r="I373" s="18">
        <f>H372</f>
        <v>100</v>
      </c>
      <c r="J373" s="125"/>
      <c r="K373" s="466" t="s">
        <v>644</v>
      </c>
      <c r="L373" s="20"/>
      <c r="M373" s="124"/>
      <c r="N373" s="124"/>
      <c r="O373" s="18"/>
      <c r="P373" s="18">
        <f>O372</f>
        <v>100</v>
      </c>
      <c r="Q373" s="18">
        <f>(I373+P373)/2</f>
        <v>100</v>
      </c>
      <c r="R373" s="447" t="s">
        <v>25</v>
      </c>
      <c r="S373" s="623"/>
    </row>
    <row r="374" spans="1:19" ht="33" x14ac:dyDescent="0.25">
      <c r="A374" s="624"/>
      <c r="B374" s="514"/>
      <c r="C374" s="431" t="s">
        <v>26</v>
      </c>
      <c r="D374" s="59" t="s">
        <v>377</v>
      </c>
      <c r="E374" s="19"/>
      <c r="F374" s="78"/>
      <c r="G374" s="122"/>
      <c r="H374" s="35"/>
      <c r="I374" s="35"/>
      <c r="J374" s="121" t="str">
        <f>C374</f>
        <v>II</v>
      </c>
      <c r="K374" s="59" t="str">
        <f>D374</f>
        <v>Обеспечение доступа к объектам спорта</v>
      </c>
      <c r="L374" s="431"/>
      <c r="M374" s="431"/>
      <c r="N374" s="123"/>
      <c r="O374" s="35"/>
      <c r="P374" s="35"/>
      <c r="Q374" s="35"/>
      <c r="R374" s="432"/>
      <c r="S374" s="623"/>
    </row>
    <row r="375" spans="1:19" ht="16.5" customHeight="1" x14ac:dyDescent="0.25">
      <c r="A375" s="624"/>
      <c r="B375" s="514"/>
      <c r="C375" s="19" t="s">
        <v>28</v>
      </c>
      <c r="D375" s="41" t="s">
        <v>336</v>
      </c>
      <c r="E375" s="19" t="s">
        <v>216</v>
      </c>
      <c r="F375" s="78">
        <v>3</v>
      </c>
      <c r="G375" s="19">
        <v>0</v>
      </c>
      <c r="H375" s="24">
        <v>100</v>
      </c>
      <c r="I375" s="35"/>
      <c r="J375" s="120" t="str">
        <f>C375</f>
        <v>2.1.</v>
      </c>
      <c r="K375" s="41" t="s">
        <v>376</v>
      </c>
      <c r="L375" s="19" t="s">
        <v>41</v>
      </c>
      <c r="M375" s="19">
        <v>24</v>
      </c>
      <c r="N375" s="70">
        <v>24</v>
      </c>
      <c r="O375" s="24">
        <f>IF(N375/M375*100&gt;110,110,N375/M375*100)</f>
        <v>100</v>
      </c>
      <c r="P375" s="397"/>
      <c r="Q375" s="35"/>
      <c r="R375" s="432"/>
      <c r="S375" s="623"/>
    </row>
    <row r="376" spans="1:19" ht="112.5" customHeight="1" x14ac:dyDescent="0.25">
      <c r="A376" s="624"/>
      <c r="B376" s="514"/>
      <c r="C376" s="19" t="s">
        <v>30</v>
      </c>
      <c r="D376" s="41" t="s">
        <v>375</v>
      </c>
      <c r="E376" s="19" t="s">
        <v>18</v>
      </c>
      <c r="F376" s="78">
        <v>98</v>
      </c>
      <c r="G376" s="24">
        <v>98</v>
      </c>
      <c r="H376" s="24">
        <f>IF(G376/F376*100&gt;100,100,G376/F376*100)</f>
        <v>100</v>
      </c>
      <c r="I376" s="35"/>
      <c r="J376" s="121"/>
      <c r="K376" s="41"/>
      <c r="L376" s="19"/>
      <c r="M376" s="19"/>
      <c r="N376" s="70"/>
      <c r="O376" s="24"/>
      <c r="P376" s="397"/>
      <c r="Q376" s="35"/>
      <c r="R376" s="432"/>
      <c r="S376" s="623"/>
    </row>
    <row r="377" spans="1:19" ht="114" customHeight="1" x14ac:dyDescent="0.25">
      <c r="A377" s="624"/>
      <c r="B377" s="514"/>
      <c r="C377" s="19" t="s">
        <v>34</v>
      </c>
      <c r="D377" s="41" t="s">
        <v>374</v>
      </c>
      <c r="E377" s="19" t="s">
        <v>18</v>
      </c>
      <c r="F377" s="78">
        <v>98</v>
      </c>
      <c r="G377" s="24">
        <v>98</v>
      </c>
      <c r="H377" s="24">
        <f>IF(G377/F377*100&gt;100,100,G377/F377*100)</f>
        <v>100</v>
      </c>
      <c r="I377" s="35"/>
      <c r="J377" s="121"/>
      <c r="K377" s="41"/>
      <c r="L377" s="19"/>
      <c r="M377" s="19"/>
      <c r="N377" s="70"/>
      <c r="O377" s="24"/>
      <c r="P377" s="397"/>
      <c r="Q377" s="35"/>
      <c r="R377" s="432"/>
      <c r="S377" s="623"/>
    </row>
    <row r="378" spans="1:19" ht="39.75" x14ac:dyDescent="0.25">
      <c r="A378" s="624"/>
      <c r="B378" s="514"/>
      <c r="C378" s="20"/>
      <c r="D378" s="466" t="s">
        <v>644</v>
      </c>
      <c r="E378" s="20"/>
      <c r="F378" s="84"/>
      <c r="G378" s="85"/>
      <c r="H378" s="18"/>
      <c r="I378" s="18">
        <f>(H375+H376+H377)/3</f>
        <v>100</v>
      </c>
      <c r="J378" s="119"/>
      <c r="K378" s="466" t="s">
        <v>644</v>
      </c>
      <c r="L378" s="447"/>
      <c r="M378" s="447"/>
      <c r="N378" s="447"/>
      <c r="O378" s="18"/>
      <c r="P378" s="18">
        <f>O375</f>
        <v>100</v>
      </c>
      <c r="Q378" s="18">
        <f>(I378+P378)/2</f>
        <v>100</v>
      </c>
      <c r="R378" s="447" t="s">
        <v>25</v>
      </c>
      <c r="S378" s="623"/>
    </row>
    <row r="379" spans="1:19" ht="49.5" x14ac:dyDescent="0.25">
      <c r="A379" s="624"/>
      <c r="B379" s="514"/>
      <c r="C379" s="431" t="s">
        <v>36</v>
      </c>
      <c r="D379" s="59" t="s">
        <v>373</v>
      </c>
      <c r="E379" s="19"/>
      <c r="F379" s="78"/>
      <c r="G379" s="122"/>
      <c r="H379" s="35"/>
      <c r="I379" s="436"/>
      <c r="J379" s="121" t="str">
        <f>C379</f>
        <v>III</v>
      </c>
      <c r="K379" s="59" t="str">
        <f>D379</f>
        <v xml:space="preserve">Организация и проведение официальных спортивных мероприятий </v>
      </c>
      <c r="L379" s="19"/>
      <c r="M379" s="19"/>
      <c r="N379" s="19"/>
      <c r="O379" s="35"/>
      <c r="P379" s="35"/>
      <c r="Q379" s="35"/>
      <c r="R379" s="432"/>
      <c r="S379" s="623"/>
    </row>
    <row r="380" spans="1:19" ht="33" x14ac:dyDescent="0.25">
      <c r="A380" s="624"/>
      <c r="B380" s="514"/>
      <c r="C380" s="19" t="s">
        <v>38</v>
      </c>
      <c r="D380" s="41" t="s">
        <v>372</v>
      </c>
      <c r="E380" s="19" t="s">
        <v>20</v>
      </c>
      <c r="F380" s="78">
        <v>2000</v>
      </c>
      <c r="G380" s="78">
        <v>2051</v>
      </c>
      <c r="H380" s="24">
        <f>IF(G380/F380*100&gt;100,100,G380/F380*100)</f>
        <v>100</v>
      </c>
      <c r="I380" s="35"/>
      <c r="J380" s="120" t="str">
        <f>C380</f>
        <v>3.1.</v>
      </c>
      <c r="K380" s="41" t="s">
        <v>270</v>
      </c>
      <c r="L380" s="19" t="s">
        <v>41</v>
      </c>
      <c r="M380" s="19">
        <v>16</v>
      </c>
      <c r="N380" s="19">
        <v>15</v>
      </c>
      <c r="O380" s="24">
        <f>IF(N380/M380*100&gt;110,110,N380/M380*100)</f>
        <v>93.75</v>
      </c>
      <c r="P380" s="35"/>
      <c r="Q380" s="35"/>
      <c r="R380" s="432"/>
      <c r="S380" s="623"/>
    </row>
    <row r="381" spans="1:19" ht="41.25" customHeight="1" x14ac:dyDescent="0.25">
      <c r="A381" s="624"/>
      <c r="B381" s="514"/>
      <c r="C381" s="19" t="s">
        <v>118</v>
      </c>
      <c r="D381" s="41" t="s">
        <v>336</v>
      </c>
      <c r="E381" s="19" t="s">
        <v>216</v>
      </c>
      <c r="F381" s="78">
        <v>3</v>
      </c>
      <c r="G381" s="19">
        <v>0</v>
      </c>
      <c r="H381" s="24">
        <v>100</v>
      </c>
      <c r="I381" s="35"/>
      <c r="J381" s="120"/>
      <c r="K381" s="41"/>
      <c r="L381" s="19"/>
      <c r="M381" s="96"/>
      <c r="N381" s="96"/>
      <c r="O381" s="24"/>
      <c r="P381" s="35"/>
      <c r="Q381" s="35"/>
      <c r="R381" s="432"/>
      <c r="S381" s="623"/>
    </row>
    <row r="382" spans="1:19" ht="39.75" x14ac:dyDescent="0.25">
      <c r="A382" s="624"/>
      <c r="B382" s="514"/>
      <c r="C382" s="20"/>
      <c r="D382" s="466" t="s">
        <v>644</v>
      </c>
      <c r="E382" s="20"/>
      <c r="F382" s="84"/>
      <c r="G382" s="85"/>
      <c r="H382" s="18"/>
      <c r="I382" s="18">
        <f>(H380+H381)/2</f>
        <v>100</v>
      </c>
      <c r="J382" s="119"/>
      <c r="K382" s="466" t="s">
        <v>644</v>
      </c>
      <c r="L382" s="447"/>
      <c r="M382" s="447"/>
      <c r="N382" s="447"/>
      <c r="O382" s="18"/>
      <c r="P382" s="18">
        <f>O380</f>
        <v>93.75</v>
      </c>
      <c r="Q382" s="18">
        <f>(I382+P382)/2</f>
        <v>96.875</v>
      </c>
      <c r="R382" s="447" t="s">
        <v>112</v>
      </c>
      <c r="S382" s="623"/>
    </row>
    <row r="383" spans="1:19" ht="66" x14ac:dyDescent="0.25">
      <c r="A383" s="624"/>
      <c r="B383" s="514"/>
      <c r="C383" s="431" t="s">
        <v>123</v>
      </c>
      <c r="D383" s="59" t="s">
        <v>371</v>
      </c>
      <c r="E383" s="19"/>
      <c r="F383" s="78"/>
      <c r="G383" s="122"/>
      <c r="H383" s="35"/>
      <c r="I383" s="436"/>
      <c r="J383" s="121" t="str">
        <f>C383</f>
        <v>IV</v>
      </c>
      <c r="K383" s="59" t="str">
        <f>D383</f>
        <v>Организация и проведение официальных физкультурных (физкультурно-оздоровительных) мероприятий</v>
      </c>
      <c r="L383" s="431"/>
      <c r="M383" s="431"/>
      <c r="N383" s="123"/>
      <c r="O383" s="35"/>
      <c r="P383" s="35"/>
      <c r="Q383" s="35"/>
      <c r="R383" s="432"/>
      <c r="S383" s="623"/>
    </row>
    <row r="384" spans="1:19" ht="33" x14ac:dyDescent="0.25">
      <c r="A384" s="624"/>
      <c r="B384" s="514"/>
      <c r="C384" s="19" t="s">
        <v>124</v>
      </c>
      <c r="D384" s="41" t="s">
        <v>370</v>
      </c>
      <c r="E384" s="19" t="s">
        <v>20</v>
      </c>
      <c r="F384" s="78">
        <v>900</v>
      </c>
      <c r="G384" s="19">
        <v>843</v>
      </c>
      <c r="H384" s="24">
        <f>IF(G384/F384*100&gt;100,100,G384/F384*100)</f>
        <v>93.666666666666671</v>
      </c>
      <c r="I384" s="332"/>
      <c r="J384" s="120" t="str">
        <f>C384</f>
        <v>4.1.</v>
      </c>
      <c r="K384" s="41" t="s">
        <v>270</v>
      </c>
      <c r="L384" s="19" t="s">
        <v>41</v>
      </c>
      <c r="M384" s="19">
        <v>12</v>
      </c>
      <c r="N384" s="19">
        <v>12</v>
      </c>
      <c r="O384" s="24">
        <f>IF(N384/M384*100&gt;110,110,N384/M384*100)</f>
        <v>100</v>
      </c>
      <c r="P384" s="397"/>
      <c r="Q384" s="35"/>
      <c r="R384" s="432"/>
      <c r="S384" s="623"/>
    </row>
    <row r="385" spans="1:19" ht="82.5" customHeight="1" x14ac:dyDescent="0.25">
      <c r="A385" s="624"/>
      <c r="B385" s="514"/>
      <c r="C385" s="19" t="s">
        <v>127</v>
      </c>
      <c r="D385" s="41" t="s">
        <v>336</v>
      </c>
      <c r="E385" s="19" t="s">
        <v>216</v>
      </c>
      <c r="F385" s="78">
        <v>3</v>
      </c>
      <c r="G385" s="19">
        <v>0</v>
      </c>
      <c r="H385" s="24">
        <v>100</v>
      </c>
      <c r="I385" s="35"/>
      <c r="J385" s="121"/>
      <c r="K385" s="41"/>
      <c r="L385" s="19"/>
      <c r="M385" s="19"/>
      <c r="N385" s="19"/>
      <c r="O385" s="24"/>
      <c r="P385" s="431"/>
      <c r="Q385" s="35"/>
      <c r="R385" s="432"/>
      <c r="S385" s="623"/>
    </row>
    <row r="386" spans="1:19" ht="39.75" x14ac:dyDescent="0.25">
      <c r="A386" s="624"/>
      <c r="B386" s="514"/>
      <c r="C386" s="20"/>
      <c r="D386" s="466" t="s">
        <v>644</v>
      </c>
      <c r="E386" s="20"/>
      <c r="F386" s="84"/>
      <c r="G386" s="85"/>
      <c r="H386" s="18"/>
      <c r="I386" s="18">
        <f>(H384+H385)/2</f>
        <v>96.833333333333343</v>
      </c>
      <c r="J386" s="119"/>
      <c r="K386" s="466" t="s">
        <v>644</v>
      </c>
      <c r="L386" s="447"/>
      <c r="M386" s="447"/>
      <c r="N386" s="447"/>
      <c r="O386" s="18"/>
      <c r="P386" s="18">
        <f>O384</f>
        <v>100</v>
      </c>
      <c r="Q386" s="18">
        <f>(I386+P386)/2</f>
        <v>98.416666666666671</v>
      </c>
      <c r="R386" s="447" t="s">
        <v>112</v>
      </c>
      <c r="S386" s="623"/>
    </row>
    <row r="387" spans="1:19" ht="49.5" customHeight="1" x14ac:dyDescent="0.25">
      <c r="A387" s="624"/>
      <c r="B387" s="514"/>
      <c r="C387" s="431" t="s">
        <v>129</v>
      </c>
      <c r="D387" s="59" t="s">
        <v>369</v>
      </c>
      <c r="E387" s="19"/>
      <c r="F387" s="78"/>
      <c r="G387" s="122"/>
      <c r="H387" s="436"/>
      <c r="I387" s="436"/>
      <c r="J387" s="121" t="str">
        <f>C387</f>
        <v>V</v>
      </c>
      <c r="K387" s="59" t="str">
        <f>D387</f>
        <v>Организация мероприятий по подготовке спортивных сборных команд</v>
      </c>
      <c r="L387" s="431"/>
      <c r="M387" s="431"/>
      <c r="N387" s="431"/>
      <c r="O387" s="436"/>
      <c r="P387" s="436"/>
      <c r="Q387" s="436"/>
      <c r="R387" s="432"/>
      <c r="S387" s="623"/>
    </row>
    <row r="388" spans="1:19" ht="66" x14ac:dyDescent="0.25">
      <c r="A388" s="624"/>
      <c r="B388" s="514"/>
      <c r="C388" s="19" t="s">
        <v>131</v>
      </c>
      <c r="D388" s="41" t="s">
        <v>368</v>
      </c>
      <c r="E388" s="19" t="s">
        <v>18</v>
      </c>
      <c r="F388" s="19">
        <v>95</v>
      </c>
      <c r="G388" s="19">
        <v>100</v>
      </c>
      <c r="H388" s="24">
        <f>IF(G388/F388*100&gt;100,100,G388/F388*100)</f>
        <v>100</v>
      </c>
      <c r="I388" s="35"/>
      <c r="J388" s="120" t="str">
        <f>C388</f>
        <v>5.1.</v>
      </c>
      <c r="K388" s="41" t="s">
        <v>367</v>
      </c>
      <c r="L388" s="19" t="s">
        <v>20</v>
      </c>
      <c r="M388" s="19">
        <v>90</v>
      </c>
      <c r="N388" s="19">
        <v>92</v>
      </c>
      <c r="O388" s="24">
        <f>IF(N388/M388*100&gt;110,110,N388/M388*100)</f>
        <v>102.22222222222221</v>
      </c>
      <c r="P388" s="431"/>
      <c r="Q388" s="436"/>
      <c r="R388" s="432"/>
      <c r="S388" s="623"/>
    </row>
    <row r="389" spans="1:19" ht="39.75" x14ac:dyDescent="0.25">
      <c r="A389" s="624"/>
      <c r="B389" s="514"/>
      <c r="C389" s="20"/>
      <c r="D389" s="466" t="s">
        <v>644</v>
      </c>
      <c r="E389" s="20"/>
      <c r="F389" s="84"/>
      <c r="G389" s="85"/>
      <c r="H389" s="18"/>
      <c r="I389" s="18">
        <v>100</v>
      </c>
      <c r="J389" s="119"/>
      <c r="K389" s="466" t="s">
        <v>644</v>
      </c>
      <c r="L389" s="447"/>
      <c r="M389" s="447"/>
      <c r="N389" s="447"/>
      <c r="O389" s="18"/>
      <c r="P389" s="18">
        <f>O388</f>
        <v>102.22222222222221</v>
      </c>
      <c r="Q389" s="18">
        <f>(I389+P389)/2</f>
        <v>101.11111111111111</v>
      </c>
      <c r="R389" s="447" t="s">
        <v>25</v>
      </c>
      <c r="S389" s="623"/>
    </row>
  </sheetData>
  <mergeCells count="53">
    <mergeCell ref="B2:Q2"/>
    <mergeCell ref="B3:Q3"/>
    <mergeCell ref="B4:Q4"/>
    <mergeCell ref="B5:Q5"/>
    <mergeCell ref="B6:Q6"/>
    <mergeCell ref="Q9:S9"/>
    <mergeCell ref="A12:A33"/>
    <mergeCell ref="B12:B33"/>
    <mergeCell ref="S12:S33"/>
    <mergeCell ref="A34:A86"/>
    <mergeCell ref="B34:B86"/>
    <mergeCell ref="S34:S86"/>
    <mergeCell ref="A8:A10"/>
    <mergeCell ref="B8:B10"/>
    <mergeCell ref="D8:S8"/>
    <mergeCell ref="D9:I9"/>
    <mergeCell ref="J9:P9"/>
    <mergeCell ref="A87:A156"/>
    <mergeCell ref="B87:B156"/>
    <mergeCell ref="S87:S156"/>
    <mergeCell ref="A157:A198"/>
    <mergeCell ref="B157:B198"/>
    <mergeCell ref="S157:S198"/>
    <mergeCell ref="A199:A236"/>
    <mergeCell ref="B199:B236"/>
    <mergeCell ref="S199:S236"/>
    <mergeCell ref="A237:A258"/>
    <mergeCell ref="B237:B258"/>
    <mergeCell ref="S237:S258"/>
    <mergeCell ref="A259:A280"/>
    <mergeCell ref="B259:B280"/>
    <mergeCell ref="S259:S280"/>
    <mergeCell ref="A281:A303"/>
    <mergeCell ref="B281:B303"/>
    <mergeCell ref="S281:S303"/>
    <mergeCell ref="A304:A325"/>
    <mergeCell ref="B304:B325"/>
    <mergeCell ref="S304:S325"/>
    <mergeCell ref="A326:A337"/>
    <mergeCell ref="B326:B337"/>
    <mergeCell ref="S326:S337"/>
    <mergeCell ref="A338:A350"/>
    <mergeCell ref="B338:B350"/>
    <mergeCell ref="S338:S350"/>
    <mergeCell ref="A351:A358"/>
    <mergeCell ref="B351:B358"/>
    <mergeCell ref="S351:S358"/>
    <mergeCell ref="A359:A370"/>
    <mergeCell ref="B359:B370"/>
    <mergeCell ref="S359:S370"/>
    <mergeCell ref="A371:A389"/>
    <mergeCell ref="B371:B389"/>
    <mergeCell ref="S371:S389"/>
  </mergeCells>
  <printOptions horizontalCentered="1"/>
  <pageMargins left="0.25" right="0.25" top="0.75" bottom="0.75" header="0.3" footer="0.3"/>
  <pageSetup paperSize="9" scale="37" fitToHeight="0" orientation="landscape" r:id="rId1"/>
  <rowBreaks count="2" manualBreakCount="2">
    <brk id="272" max="18" man="1"/>
    <brk id="309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11</vt:i4>
      </vt:variant>
    </vt:vector>
  </HeadingPairs>
  <TitlesOfParts>
    <vt:vector size="20" baseType="lpstr">
      <vt:lpstr>СВОД 25</vt:lpstr>
      <vt:lpstr>Культура и искусство</vt:lpstr>
      <vt:lpstr>Норильские новости</vt:lpstr>
      <vt:lpstr>Центр развития туризма</vt:lpstr>
      <vt:lpstr>Транспорт</vt:lpstr>
      <vt:lpstr>НЦБД</vt:lpstr>
      <vt:lpstr>Образование</vt:lpstr>
      <vt:lpstr>Молодежная политика</vt:lpstr>
      <vt:lpstr>Физ. культура и спорт</vt:lpstr>
      <vt:lpstr>'Культура и искусство'!Заголовки_для_печати</vt:lpstr>
      <vt:lpstr>Образование!Заголовки_для_печати</vt:lpstr>
      <vt:lpstr>'Физ. культура и спорт'!Заголовки_для_печати</vt:lpstr>
      <vt:lpstr>'Культура и искусство'!Область_печати</vt:lpstr>
      <vt:lpstr>'Норильские новости'!Область_печати</vt:lpstr>
      <vt:lpstr>НЦБД!Область_печати</vt:lpstr>
      <vt:lpstr>Образование!Область_печати</vt:lpstr>
      <vt:lpstr>'СВОД 25'!Область_печати</vt:lpstr>
      <vt:lpstr>Транспорт!Область_печати</vt:lpstr>
      <vt:lpstr>'Физ. культура и спорт'!Область_печати</vt:lpstr>
      <vt:lpstr>'Центр развития туризма'!Область_печати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Воронина Марина Петровна</dc:creator>
  <cp:lastModifiedBy>Смородина Татьяна Ильинична</cp:lastModifiedBy>
  <cp:lastPrinted>2026-03-02T11:30:31Z</cp:lastPrinted>
  <dcterms:created xsi:type="dcterms:W3CDTF">2026-01-29T10:43:28Z</dcterms:created>
  <dcterms:modified xsi:type="dcterms:W3CDTF">2026-03-31T11:41:30Z</dcterms:modified>
</cp:coreProperties>
</file>