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s11\FTP\УДТИ\ОТиТИ\!Работа отдела\!МП\МП 2026\"/>
    </mc:Choice>
  </mc:AlternateContent>
  <bookViews>
    <workbookView xWindow="0" yWindow="0" windowWidth="28800" windowHeight="12135"/>
  </bookViews>
  <sheets>
    <sheet name="прил.6 " sheetId="65" r:id="rId1"/>
  </sheets>
  <definedNames>
    <definedName name="В21">#REF!</definedName>
    <definedName name="_xlnm.Print_Titles" localSheetId="0">'прил.6 '!$6:$11</definedName>
    <definedName name="_xlnm.Print_Area" localSheetId="0">'прил.6 '!$A$1:$CP$53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65" l="1"/>
  <c r="BZ34" i="65"/>
  <c r="BS45" i="65" l="1"/>
  <c r="BL48" i="65" l="1"/>
  <c r="CP13" i="65" l="1"/>
  <c r="CP12" i="65"/>
  <c r="CM12" i="65"/>
  <c r="K53" i="65" l="1"/>
  <c r="J53" i="65"/>
  <c r="G26" i="65"/>
  <c r="G27" i="65"/>
  <c r="G28" i="65"/>
  <c r="G29" i="65"/>
  <c r="G30" i="65"/>
  <c r="G31" i="65"/>
  <c r="G32" i="65"/>
  <c r="G33" i="65"/>
  <c r="G35" i="65"/>
  <c r="G36" i="65"/>
  <c r="G37" i="65"/>
  <c r="G39" i="65"/>
  <c r="G40" i="65"/>
  <c r="G41" i="65"/>
  <c r="G42" i="65"/>
  <c r="G43" i="65"/>
  <c r="G44" i="65"/>
  <c r="G46" i="65"/>
  <c r="G49" i="65"/>
  <c r="G51" i="65"/>
  <c r="G52" i="65"/>
  <c r="G12" i="65"/>
  <c r="F13" i="65"/>
  <c r="F14" i="65"/>
  <c r="F15" i="65"/>
  <c r="F16" i="65"/>
  <c r="F17" i="65"/>
  <c r="F18" i="65"/>
  <c r="F19" i="65"/>
  <c r="F20" i="65"/>
  <c r="F21" i="65"/>
  <c r="F22" i="65"/>
  <c r="F23" i="65"/>
  <c r="F24" i="65"/>
  <c r="F25" i="65"/>
  <c r="F26" i="65"/>
  <c r="F27" i="65"/>
  <c r="F28" i="65"/>
  <c r="F29" i="65"/>
  <c r="F30" i="65"/>
  <c r="F31" i="65"/>
  <c r="F32" i="65"/>
  <c r="F33" i="65"/>
  <c r="F35" i="65"/>
  <c r="F36" i="65"/>
  <c r="F37" i="65"/>
  <c r="F38" i="65"/>
  <c r="F39" i="65"/>
  <c r="F40" i="65"/>
  <c r="F41" i="65"/>
  <c r="F42" i="65"/>
  <c r="F43" i="65"/>
  <c r="F44" i="65"/>
  <c r="F45" i="65"/>
  <c r="F46" i="65"/>
  <c r="F48" i="65"/>
  <c r="F49" i="65"/>
  <c r="F51" i="65"/>
  <c r="F52" i="65"/>
  <c r="F12" i="65"/>
  <c r="BZ48" i="65"/>
  <c r="BZ35" i="65"/>
  <c r="BR13" i="65"/>
  <c r="BZ13" i="65"/>
  <c r="CH13" i="65"/>
  <c r="BW13" i="65"/>
  <c r="E12" i="65"/>
  <c r="E52" i="65"/>
  <c r="E51" i="65"/>
  <c r="E49" i="65"/>
  <c r="E46" i="65"/>
  <c r="E44" i="65"/>
  <c r="E43" i="65"/>
  <c r="E42" i="65"/>
  <c r="E41" i="65"/>
  <c r="E40" i="65"/>
  <c r="E39" i="65"/>
  <c r="E37" i="65"/>
  <c r="E36" i="65"/>
  <c r="E35" i="65"/>
  <c r="E33" i="65"/>
  <c r="E32" i="65"/>
  <c r="E31" i="65"/>
  <c r="E30" i="65"/>
  <c r="E29" i="65"/>
  <c r="E28" i="65"/>
  <c r="E27" i="65"/>
  <c r="E26" i="65"/>
  <c r="BX12" i="65"/>
  <c r="G13" i="65" l="1"/>
  <c r="E13" i="65"/>
  <c r="BX53" i="65"/>
  <c r="CF53" i="65"/>
  <c r="CN53" i="65"/>
  <c r="BZ22" i="65"/>
  <c r="BZ19" i="65"/>
  <c r="CI34" i="65" l="1"/>
  <c r="BZ37" i="65"/>
  <c r="CA34" i="65"/>
  <c r="BS34" i="65"/>
  <c r="CN34" i="65"/>
  <c r="CF34" i="65"/>
  <c r="BX34" i="65"/>
  <c r="BP34" i="65"/>
  <c r="CM13" i="65"/>
  <c r="CE13" i="65"/>
  <c r="BW12" i="65"/>
  <c r="BN13" i="65"/>
  <c r="CP44" i="65"/>
  <c r="CP45" i="65"/>
  <c r="CH44" i="65"/>
  <c r="CH45" i="65"/>
  <c r="BZ44" i="65"/>
  <c r="BZ45" i="65"/>
  <c r="BR44" i="65"/>
  <c r="BR45" i="65"/>
  <c r="G45" i="65" l="1"/>
  <c r="E45" i="65"/>
  <c r="BR36" i="65"/>
  <c r="BR37" i="65"/>
  <c r="BR38" i="65"/>
  <c r="BR39" i="65"/>
  <c r="BR40" i="65"/>
  <c r="BR41" i="65"/>
  <c r="BR42" i="65"/>
  <c r="BR43" i="65"/>
  <c r="BR35" i="65"/>
  <c r="CP29" i="65"/>
  <c r="CH29" i="65"/>
  <c r="BQ47" i="65" l="1"/>
  <c r="CP52" i="65" l="1"/>
  <c r="CP50" i="65"/>
  <c r="CP49" i="65"/>
  <c r="CP48" i="65"/>
  <c r="CO47" i="65"/>
  <c r="CM47" i="65"/>
  <c r="CM53" i="65" s="1"/>
  <c r="CL47" i="65"/>
  <c r="CP46" i="65"/>
  <c r="CP43" i="65"/>
  <c r="CP42" i="65"/>
  <c r="CP41" i="65"/>
  <c r="CP40" i="65"/>
  <c r="CP39" i="65"/>
  <c r="CP38" i="65"/>
  <c r="CP37" i="65"/>
  <c r="CP35" i="65"/>
  <c r="CP33" i="65"/>
  <c r="CP32" i="65"/>
  <c r="CO31" i="65"/>
  <c r="CP31" i="65" s="1"/>
  <c r="CL31" i="65"/>
  <c r="CP30" i="65"/>
  <c r="CP28" i="65"/>
  <c r="CP27" i="65"/>
  <c r="CP26" i="65"/>
  <c r="CP25" i="65"/>
  <c r="CP24" i="65"/>
  <c r="CP23" i="65"/>
  <c r="CP22" i="65"/>
  <c r="CP21" i="65"/>
  <c r="CP20" i="65"/>
  <c r="CP19" i="65"/>
  <c r="CP18" i="65"/>
  <c r="CP17" i="65"/>
  <c r="CP16" i="65"/>
  <c r="CP15" i="65"/>
  <c r="CP14" i="65"/>
  <c r="CL13" i="65"/>
  <c r="CL12" i="65" s="1"/>
  <c r="CK13" i="65"/>
  <c r="CJ53" i="65"/>
  <c r="CI13" i="65"/>
  <c r="CI12" i="65" s="1"/>
  <c r="CO12" i="65"/>
  <c r="CK53" i="65" l="1"/>
  <c r="CO53" i="65"/>
  <c r="CL53" i="65"/>
  <c r="BZ29" i="65" l="1"/>
  <c r="BG47" i="65" l="1"/>
  <c r="BN47" i="65"/>
  <c r="BK38" i="65"/>
  <c r="BZ30" i="65" l="1"/>
  <c r="CH14" i="65"/>
  <c r="CH15" i="65"/>
  <c r="CH16" i="65"/>
  <c r="CH17" i="65"/>
  <c r="CH18" i="65"/>
  <c r="CH19" i="65"/>
  <c r="CH20" i="65"/>
  <c r="CH21" i="65"/>
  <c r="CH22" i="65"/>
  <c r="BZ14" i="65"/>
  <c r="BZ15" i="65"/>
  <c r="BZ16" i="65"/>
  <c r="BZ17" i="65"/>
  <c r="BZ18" i="65"/>
  <c r="BZ20" i="65"/>
  <c r="BZ21" i="65"/>
  <c r="BR14" i="65"/>
  <c r="BR15" i="65"/>
  <c r="BR16" i="65"/>
  <c r="BR17" i="65"/>
  <c r="BR18" i="65"/>
  <c r="BR19" i="65"/>
  <c r="BR20" i="65"/>
  <c r="BR21" i="65"/>
  <c r="BR22" i="65"/>
  <c r="BK14" i="65"/>
  <c r="BK15" i="65"/>
  <c r="BK16" i="65"/>
  <c r="BK17" i="65"/>
  <c r="BK18" i="65"/>
  <c r="BK19" i="65"/>
  <c r="BK20" i="65"/>
  <c r="BK21" i="65"/>
  <c r="BK22" i="65"/>
  <c r="BE13" i="65"/>
  <c r="BE12" i="65" s="1"/>
  <c r="BF13" i="65"/>
  <c r="BG13" i="65"/>
  <c r="BH13" i="65"/>
  <c r="BH12" i="65" s="1"/>
  <c r="BI13" i="65"/>
  <c r="BI12" i="65" s="1"/>
  <c r="BJ13" i="65"/>
  <c r="BJ12" i="65" s="1"/>
  <c r="BL13" i="65"/>
  <c r="BL12" i="65" s="1"/>
  <c r="BM13" i="65"/>
  <c r="BN12" i="65"/>
  <c r="BO13" i="65"/>
  <c r="BO12" i="65" s="1"/>
  <c r="BP13" i="65"/>
  <c r="BP12" i="65" s="1"/>
  <c r="BQ13" i="65"/>
  <c r="BQ12" i="65" s="1"/>
  <c r="BS13" i="65"/>
  <c r="BS12" i="65" s="1"/>
  <c r="BV13" i="65"/>
  <c r="BV12" i="65" s="1"/>
  <c r="BY13" i="65"/>
  <c r="BY12" i="65" s="1"/>
  <c r="BZ12" i="65" s="1"/>
  <c r="CA13" i="65"/>
  <c r="CA12" i="65" s="1"/>
  <c r="CD13" i="65"/>
  <c r="CD12" i="65" s="1"/>
  <c r="CG12" i="65"/>
  <c r="BR28" i="65"/>
  <c r="BR29" i="65"/>
  <c r="BR30" i="65"/>
  <c r="BR27" i="65"/>
  <c r="BR24" i="65"/>
  <c r="BR25" i="65"/>
  <c r="BR26" i="65"/>
  <c r="BR23" i="65"/>
  <c r="G20" i="65" l="1"/>
  <c r="E20" i="65"/>
  <c r="E19" i="65"/>
  <c r="G19" i="65"/>
  <c r="E15" i="65"/>
  <c r="G15" i="65"/>
  <c r="G22" i="65"/>
  <c r="E22" i="65"/>
  <c r="G18" i="65"/>
  <c r="E18" i="65"/>
  <c r="G14" i="65"/>
  <c r="E14" i="65"/>
  <c r="G16" i="65"/>
  <c r="E16" i="65"/>
  <c r="G21" i="65"/>
  <c r="E21" i="65"/>
  <c r="G17" i="65"/>
  <c r="E17" i="65"/>
  <c r="BK13" i="65"/>
  <c r="BR12" i="65"/>
  <c r="CH35" i="65" l="1"/>
  <c r="CH37" i="65"/>
  <c r="CH38" i="65"/>
  <c r="CH39" i="65"/>
  <c r="CH40" i="65"/>
  <c r="CH41" i="65"/>
  <c r="CH42" i="65"/>
  <c r="CH43" i="65"/>
  <c r="CH46" i="65"/>
  <c r="BZ36" i="65"/>
  <c r="BZ38" i="65"/>
  <c r="BZ39" i="65"/>
  <c r="BZ40" i="65"/>
  <c r="BZ42" i="65"/>
  <c r="BZ43" i="65"/>
  <c r="BZ46" i="65"/>
  <c r="BR46" i="65"/>
  <c r="BK35" i="65"/>
  <c r="BK37" i="65"/>
  <c r="BK39" i="65"/>
  <c r="BK40" i="65"/>
  <c r="BK41" i="65"/>
  <c r="BK42" i="65"/>
  <c r="BK46" i="65"/>
  <c r="CH48" i="65"/>
  <c r="CH49" i="65"/>
  <c r="CH50" i="65"/>
  <c r="E38" i="65" l="1"/>
  <c r="G38" i="65"/>
  <c r="BZ49" i="65"/>
  <c r="BZ50" i="65"/>
  <c r="BR48" i="65"/>
  <c r="BR49" i="65"/>
  <c r="BR50" i="65"/>
  <c r="BR52" i="65"/>
  <c r="BZ52" i="65"/>
  <c r="BE43" i="65"/>
  <c r="BK43" i="65" s="1"/>
  <c r="E50" i="65" l="1"/>
  <c r="G48" i="65"/>
  <c r="E48" i="65"/>
  <c r="BL51" i="65"/>
  <c r="BR51" i="65" s="1"/>
  <c r="CA51" i="65" l="1"/>
  <c r="CH51" i="65" s="1"/>
  <c r="CE12" i="65" l="1"/>
  <c r="CH12" i="65" s="1"/>
  <c r="CC53" i="65"/>
  <c r="CB53" i="65"/>
  <c r="CG47" i="65"/>
  <c r="CE47" i="65"/>
  <c r="CD47" i="65"/>
  <c r="CA47" i="65"/>
  <c r="CH33" i="65"/>
  <c r="CH32" i="65"/>
  <c r="CG31" i="65"/>
  <c r="CH31" i="65" s="1"/>
  <c r="CD31" i="65"/>
  <c r="CH30" i="65"/>
  <c r="CH28" i="65"/>
  <c r="CH27" i="65"/>
  <c r="CH26" i="65"/>
  <c r="CH25" i="65"/>
  <c r="CH24" i="65"/>
  <c r="CH23" i="65"/>
  <c r="G25" i="65" l="1"/>
  <c r="E25" i="65"/>
  <c r="G23" i="65"/>
  <c r="E23" i="65"/>
  <c r="E24" i="65"/>
  <c r="G24" i="65"/>
  <c r="CE53" i="65"/>
  <c r="CD53" i="65"/>
  <c r="CH47" i="65"/>
  <c r="CG53" i="65"/>
  <c r="BE36" i="65"/>
  <c r="BK36" i="65" s="1"/>
  <c r="BH47" i="65" l="1"/>
  <c r="BK30" i="65" l="1"/>
  <c r="BK29" i="65"/>
  <c r="BK28" i="65"/>
  <c r="BG27" i="65"/>
  <c r="BK26" i="65"/>
  <c r="BK25" i="65"/>
  <c r="BK24" i="65"/>
  <c r="BK23" i="65"/>
  <c r="BK27" i="65" l="1"/>
  <c r="BG12" i="65"/>
  <c r="BK12" i="65" s="1"/>
  <c r="BD26" i="65"/>
  <c r="BD24" i="65"/>
  <c r="BD25" i="65"/>
  <c r="BD27" i="65"/>
  <c r="BD23" i="65"/>
  <c r="BD21" i="65"/>
  <c r="BD22" i="65"/>
  <c r="BD17" i="65"/>
  <c r="BD15" i="65"/>
  <c r="BD16" i="65"/>
  <c r="BD19" i="65"/>
  <c r="BD18" i="65"/>
  <c r="BD20" i="65"/>
  <c r="BD29" i="65"/>
  <c r="BD30" i="65"/>
  <c r="BD35" i="65"/>
  <c r="BD37" i="65"/>
  <c r="BD38" i="65"/>
  <c r="BD40" i="65"/>
  <c r="BD41" i="65"/>
  <c r="BD14" i="65"/>
  <c r="AJ34" i="65" l="1"/>
  <c r="BT53" i="65" l="1"/>
  <c r="BU53" i="65"/>
  <c r="BZ23" i="65" l="1"/>
  <c r="BZ24" i="65"/>
  <c r="BZ25" i="65"/>
  <c r="BZ26" i="65"/>
  <c r="BZ27" i="65"/>
  <c r="BZ28" i="65"/>
  <c r="BV31" i="65"/>
  <c r="BY31" i="65"/>
  <c r="BZ31" i="65" s="1"/>
  <c r="BZ32" i="65"/>
  <c r="BZ33" i="65"/>
  <c r="BV47" i="65" l="1"/>
  <c r="BV53" i="65" s="1"/>
  <c r="BW47" i="65"/>
  <c r="BW53" i="65" s="1"/>
  <c r="AX47" i="65"/>
  <c r="BA47" i="65"/>
  <c r="BC47" i="65"/>
  <c r="BB47" i="65"/>
  <c r="CH36" i="65" l="1"/>
  <c r="CH34" i="65"/>
  <c r="BD47" i="65"/>
  <c r="BY47" i="65"/>
  <c r="AW41" i="65"/>
  <c r="AP41" i="65"/>
  <c r="AQ40" i="65"/>
  <c r="CP36" i="65" l="1"/>
  <c r="CP34" i="65"/>
  <c r="AX36" i="65"/>
  <c r="BD36" i="65" s="1"/>
  <c r="AZ13" i="65" l="1"/>
  <c r="AW33" i="65" l="1"/>
  <c r="AL33" i="65"/>
  <c r="AD33" i="65"/>
  <c r="AI33" i="65" s="1"/>
  <c r="W33" i="65"/>
  <c r="AB33" i="65" s="1"/>
  <c r="AW32" i="65"/>
  <c r="AK32" i="65"/>
  <c r="AP32" i="65" s="1"/>
  <c r="AD32" i="65"/>
  <c r="AI32" i="65" s="1"/>
  <c r="X32" i="65"/>
  <c r="X31" i="65" s="1"/>
  <c r="AV31" i="65"/>
  <c r="AU31" i="65"/>
  <c r="AT31" i="65"/>
  <c r="AS31" i="65"/>
  <c r="AQ31" i="65"/>
  <c r="AO31" i="65"/>
  <c r="AN31" i="65"/>
  <c r="AM31" i="65"/>
  <c r="AJ31" i="65"/>
  <c r="AH31" i="65"/>
  <c r="AG31" i="65"/>
  <c r="AF31" i="65"/>
  <c r="AD31" i="65" s="1"/>
  <c r="AC31" i="65"/>
  <c r="AA31" i="65"/>
  <c r="Z31" i="65"/>
  <c r="Y31" i="65"/>
  <c r="V31" i="65"/>
  <c r="AW30" i="65"/>
  <c r="AW29" i="65"/>
  <c r="AL29" i="65"/>
  <c r="AK29" i="65" s="1"/>
  <c r="AP29" i="65" s="1"/>
  <c r="AD29" i="65"/>
  <c r="AI29" i="65" s="1"/>
  <c r="W29" i="65"/>
  <c r="AB29" i="65" s="1"/>
  <c r="AW28" i="65"/>
  <c r="AK28" i="65"/>
  <c r="AP28" i="65" s="1"/>
  <c r="AD28" i="65"/>
  <c r="AI28" i="65" s="1"/>
  <c r="X28" i="65"/>
  <c r="W28" i="65" s="1"/>
  <c r="AB28" i="65" s="1"/>
  <c r="AW27" i="65"/>
  <c r="AT27" i="65"/>
  <c r="AM27" i="65"/>
  <c r="AL27" i="65"/>
  <c r="AK27" i="65" s="1"/>
  <c r="AJ27" i="65"/>
  <c r="AG27" i="65"/>
  <c r="AG12" i="65" s="1"/>
  <c r="AF27" i="65"/>
  <c r="AE27" i="65"/>
  <c r="AE12" i="65" s="1"/>
  <c r="AC27" i="65"/>
  <c r="Z27" i="65"/>
  <c r="Z12" i="65" s="1"/>
  <c r="Y27" i="65"/>
  <c r="Y12" i="65" s="1"/>
  <c r="V27" i="65"/>
  <c r="V12" i="65" s="1"/>
  <c r="AW26" i="65"/>
  <c r="AP26" i="65"/>
  <c r="AW25" i="65"/>
  <c r="AK25" i="65"/>
  <c r="AP25" i="65" s="1"/>
  <c r="AD25" i="65"/>
  <c r="AI25" i="65" s="1"/>
  <c r="W25" i="65"/>
  <c r="AB25" i="65" s="1"/>
  <c r="AW24" i="65"/>
  <c r="AK24" i="65"/>
  <c r="AP24" i="65" s="1"/>
  <c r="AV23" i="65"/>
  <c r="AU23" i="65"/>
  <c r="AT23" i="65"/>
  <c r="AO23" i="65"/>
  <c r="AN23" i="65"/>
  <c r="AM23" i="65"/>
  <c r="AK23" i="65" s="1"/>
  <c r="AW21" i="65"/>
  <c r="AP21" i="65"/>
  <c r="AW20" i="65"/>
  <c r="AP20" i="65"/>
  <c r="W20" i="65"/>
  <c r="AB20" i="65" s="1"/>
  <c r="AW19" i="65"/>
  <c r="AK19" i="65"/>
  <c r="AP19" i="65" s="1"/>
  <c r="AD19" i="65"/>
  <c r="AI19" i="65" s="1"/>
  <c r="W19" i="65"/>
  <c r="AB19" i="65" s="1"/>
  <c r="AW18" i="65"/>
  <c r="AK18" i="65"/>
  <c r="AP18" i="65" s="1"/>
  <c r="AD18" i="65"/>
  <c r="AI18" i="65" s="1"/>
  <c r="W18" i="65"/>
  <c r="AB18" i="65" s="1"/>
  <c r="AW17" i="65"/>
  <c r="AK17" i="65"/>
  <c r="AP17" i="65" s="1"/>
  <c r="AD17" i="65"/>
  <c r="AI17" i="65" s="1"/>
  <c r="W17" i="65"/>
  <c r="AB17" i="65" s="1"/>
  <c r="AW16" i="65"/>
  <c r="AK16" i="65"/>
  <c r="AP16" i="65" s="1"/>
  <c r="AD16" i="65"/>
  <c r="AI16" i="65" s="1"/>
  <c r="W16" i="65"/>
  <c r="AB16" i="65" s="1"/>
  <c r="AW15" i="65"/>
  <c r="AK15" i="65"/>
  <c r="AP15" i="65" s="1"/>
  <c r="AD15" i="65"/>
  <c r="AI15" i="65" s="1"/>
  <c r="W15" i="65"/>
  <c r="AB15" i="65" s="1"/>
  <c r="AW14" i="65"/>
  <c r="AK14" i="65"/>
  <c r="AP14" i="65" s="1"/>
  <c r="AD14" i="65"/>
  <c r="AI14" i="65" s="1"/>
  <c r="BC13" i="65"/>
  <c r="BC12" i="65" s="1"/>
  <c r="AX13" i="65"/>
  <c r="AX12" i="65" s="1"/>
  <c r="AS13" i="65"/>
  <c r="AS12" i="65" s="1"/>
  <c r="AQ13" i="65"/>
  <c r="AQ12" i="65" s="1"/>
  <c r="AO13" i="65"/>
  <c r="AN13" i="65"/>
  <c r="AM13" i="65"/>
  <c r="AL13" i="65"/>
  <c r="AJ13" i="65"/>
  <c r="AZ12" i="65"/>
  <c r="AH12" i="65"/>
  <c r="AA12" i="65"/>
  <c r="U12" i="65"/>
  <c r="N12" i="65"/>
  <c r="W32" i="65" l="1"/>
  <c r="AB32" i="65" s="1"/>
  <c r="BN53" i="65"/>
  <c r="H72" i="65" s="1"/>
  <c r="AW23" i="65"/>
  <c r="AO12" i="65"/>
  <c r="AP23" i="65"/>
  <c r="W31" i="65"/>
  <c r="AB31" i="65" s="1"/>
  <c r="AL12" i="65"/>
  <c r="AK13" i="65"/>
  <c r="AP13" i="65" s="1"/>
  <c r="AN12" i="65"/>
  <c r="X27" i="65"/>
  <c r="X12" i="65" s="1"/>
  <c r="W12" i="65" s="1"/>
  <c r="AW13" i="65"/>
  <c r="AP27" i="65"/>
  <c r="AW31" i="65"/>
  <c r="BD12" i="65"/>
  <c r="AC12" i="65"/>
  <c r="AM12" i="65"/>
  <c r="AK33" i="65"/>
  <c r="AP33" i="65" s="1"/>
  <c r="AL31" i="65"/>
  <c r="AK31" i="65" s="1"/>
  <c r="AP31" i="65" s="1"/>
  <c r="AD27" i="65"/>
  <c r="AI27" i="65" s="1"/>
  <c r="AF12" i="65"/>
  <c r="AD12" i="65" s="1"/>
  <c r="AI31" i="65"/>
  <c r="AW12" i="65"/>
  <c r="AJ12" i="65"/>
  <c r="BD13" i="65"/>
  <c r="BE52" i="65"/>
  <c r="BK52" i="65" s="1"/>
  <c r="AX43" i="65"/>
  <c r="BD43" i="65" s="1"/>
  <c r="W27" i="65" l="1"/>
  <c r="AB27" i="65" s="1"/>
  <c r="AK12" i="65"/>
  <c r="AP12" i="65" s="1"/>
  <c r="AB12" i="65"/>
  <c r="AI12" i="65"/>
  <c r="BG53" i="65" l="1"/>
  <c r="CH52" i="65" l="1"/>
  <c r="BY53" i="65"/>
  <c r="BP47" i="65"/>
  <c r="BO47" i="65"/>
  <c r="AX34" i="65" l="1"/>
  <c r="BD34" i="65" s="1"/>
  <c r="BL34" i="65" l="1"/>
  <c r="BR34" i="65" s="1"/>
  <c r="BP53" i="65"/>
  <c r="H73" i="65" s="1"/>
  <c r="E34" i="65" l="1"/>
  <c r="G34" i="65"/>
  <c r="AQ36" i="65"/>
  <c r="CA53" i="65" l="1"/>
  <c r="AQ35" i="65"/>
  <c r="CH53" i="65" l="1"/>
  <c r="AQ48" i="65"/>
  <c r="AQ52" i="65" l="1"/>
  <c r="AW52" i="65" l="1"/>
  <c r="AW46" i="65" l="1"/>
  <c r="AQ34" i="65" l="1"/>
  <c r="AW34" i="65" l="1"/>
  <c r="AT47" i="65" l="1"/>
  <c r="AT53" i="65" l="1"/>
  <c r="AW36" i="65"/>
  <c r="AW37" i="65"/>
  <c r="AW38" i="65"/>
  <c r="AW39" i="65"/>
  <c r="AW40" i="65"/>
  <c r="AN51" i="65" l="1"/>
  <c r="AJ51" i="65"/>
  <c r="AJ47" i="65" s="1"/>
  <c r="AO50" i="65"/>
  <c r="AP50" i="65" s="1"/>
  <c r="AO49" i="65"/>
  <c r="AP49" i="65" s="1"/>
  <c r="AO48" i="65"/>
  <c r="AM47" i="65"/>
  <c r="AN47" i="65" l="1"/>
  <c r="AP51" i="65"/>
  <c r="AO47" i="65"/>
  <c r="AP48" i="65"/>
  <c r="AP47" i="65" l="1"/>
  <c r="AW43" i="65"/>
  <c r="AP34" i="65"/>
  <c r="AP53" i="65" l="1"/>
  <c r="BL47" i="65"/>
  <c r="BL53" i="65" s="1"/>
  <c r="BQ53" i="65"/>
  <c r="H74" i="65" s="1"/>
  <c r="BR47" i="65" l="1"/>
  <c r="BH53" i="65"/>
  <c r="BR53" i="65" l="1"/>
  <c r="AW42" i="65"/>
  <c r="AP42" i="65" l="1"/>
  <c r="AX53" i="65" l="1"/>
  <c r="AG51" i="65" l="1"/>
  <c r="AU51" i="65" s="1"/>
  <c r="AC51" i="65"/>
  <c r="AB51" i="65"/>
  <c r="U51" i="65"/>
  <c r="N51" i="65"/>
  <c r="AH50" i="65"/>
  <c r="AV50" i="65" s="1"/>
  <c r="BJ50" i="65" s="1"/>
  <c r="AB50" i="65"/>
  <c r="U50" i="65"/>
  <c r="N50" i="65"/>
  <c r="AH49" i="65"/>
  <c r="AV49" i="65" s="1"/>
  <c r="BJ49" i="65" s="1"/>
  <c r="AG49" i="65"/>
  <c r="AC49" i="65"/>
  <c r="AB49" i="65"/>
  <c r="U49" i="65"/>
  <c r="N49" i="65"/>
  <c r="AH48" i="65"/>
  <c r="AV48" i="65" s="1"/>
  <c r="BJ48" i="65" s="1"/>
  <c r="BK48" i="65" s="1"/>
  <c r="AG48" i="65"/>
  <c r="AC48" i="65"/>
  <c r="AB48" i="65"/>
  <c r="U48" i="65"/>
  <c r="N48" i="65"/>
  <c r="AF47" i="65"/>
  <c r="AE47" i="65"/>
  <c r="AD47" i="65"/>
  <c r="AA47" i="65"/>
  <c r="Z47" i="65"/>
  <c r="W47" i="65"/>
  <c r="V47" i="65"/>
  <c r="T47" i="65"/>
  <c r="S47" i="65"/>
  <c r="P47" i="65"/>
  <c r="O47" i="65"/>
  <c r="M47" i="65"/>
  <c r="L47" i="65"/>
  <c r="L53" i="65" s="1"/>
  <c r="I47" i="65"/>
  <c r="I53" i="65" s="1"/>
  <c r="H47" i="65"/>
  <c r="BK49" i="65" l="1"/>
  <c r="BK50" i="65"/>
  <c r="AQ51" i="65"/>
  <c r="AQ47" i="65" s="1"/>
  <c r="AQ53" i="65" s="1"/>
  <c r="BE51" i="65"/>
  <c r="AU47" i="65"/>
  <c r="AU53" i="65" s="1"/>
  <c r="BI51" i="65"/>
  <c r="BI47" i="65" s="1"/>
  <c r="BI53" i="65" s="1"/>
  <c r="BJ47" i="65"/>
  <c r="AW49" i="65"/>
  <c r="AW50" i="65"/>
  <c r="F50" i="65" s="1"/>
  <c r="AW51" i="65"/>
  <c r="AV47" i="65"/>
  <c r="AW48" i="65"/>
  <c r="AI51" i="65"/>
  <c r="AC47" i="65"/>
  <c r="AG47" i="65"/>
  <c r="AI50" i="65"/>
  <c r="G50" i="65" s="1"/>
  <c r="AH47" i="65"/>
  <c r="U47" i="65"/>
  <c r="AI49" i="65"/>
  <c r="AI48" i="65"/>
  <c r="N47" i="65"/>
  <c r="AB47" i="65"/>
  <c r="AP38" i="65"/>
  <c r="AI38" i="65"/>
  <c r="AB38" i="65"/>
  <c r="U38" i="65"/>
  <c r="N38" i="65"/>
  <c r="AP37" i="65"/>
  <c r="AI37" i="65"/>
  <c r="V37" i="65"/>
  <c r="AB37" i="65" s="1"/>
  <c r="O37" i="65"/>
  <c r="N37" i="65"/>
  <c r="AP36" i="65"/>
  <c r="AI36" i="65"/>
  <c r="AB36" i="65"/>
  <c r="U36" i="65"/>
  <c r="N36" i="65"/>
  <c r="AW35" i="65"/>
  <c r="AP35" i="65"/>
  <c r="AI35" i="65"/>
  <c r="V35" i="65"/>
  <c r="AB35" i="65" s="1"/>
  <c r="U35" i="65"/>
  <c r="H35" i="65"/>
  <c r="H34" i="65" s="1"/>
  <c r="AC34" i="65"/>
  <c r="BK51" i="65" l="1"/>
  <c r="BS51" i="65"/>
  <c r="CI51" i="65" s="1"/>
  <c r="BE47" i="65"/>
  <c r="BK47" i="65" s="1"/>
  <c r="AW47" i="65"/>
  <c r="BJ53" i="65"/>
  <c r="U37" i="65"/>
  <c r="AI47" i="65"/>
  <c r="V34" i="65"/>
  <c r="AB34" i="65" s="1"/>
  <c r="BD53" i="65"/>
  <c r="N34" i="65"/>
  <c r="AI34" i="65"/>
  <c r="N35" i="65"/>
  <c r="AW53" i="65" l="1"/>
  <c r="F47" i="65"/>
  <c r="F54" i="65" s="1"/>
  <c r="CP51" i="65"/>
  <c r="CI47" i="65"/>
  <c r="BZ51" i="65"/>
  <c r="BS47" i="65"/>
  <c r="U34" i="65"/>
  <c r="CP47" i="65" l="1"/>
  <c r="CI53" i="65"/>
  <c r="BZ47" i="65"/>
  <c r="G47" i="65" s="1"/>
  <c r="BS53" i="65"/>
  <c r="BA53" i="65"/>
  <c r="AZ53" i="65"/>
  <c r="CP53" i="65" l="1"/>
  <c r="E47" i="65"/>
  <c r="H71" i="65"/>
  <c r="BZ53" i="65"/>
  <c r="BB53" i="65"/>
  <c r="H75" i="65" l="1"/>
  <c r="E53" i="65"/>
  <c r="BC53" i="65"/>
  <c r="T53" i="65" l="1"/>
  <c r="S53" i="65"/>
  <c r="R53" i="65"/>
  <c r="Q53" i="65"/>
  <c r="P53" i="65"/>
  <c r="M53" i="65"/>
  <c r="H53" i="65" l="1"/>
  <c r="U53" i="65" l="1"/>
  <c r="O53" i="65"/>
  <c r="N53" i="65"/>
  <c r="Y53" i="65" l="1"/>
  <c r="AA53" i="65"/>
  <c r="V53" i="65" l="1"/>
  <c r="AV53" i="65" l="1"/>
  <c r="AS53" i="65" l="1"/>
  <c r="AL53" i="65" l="1"/>
  <c r="AM53" i="65"/>
  <c r="AO53" i="65"/>
  <c r="AG53" i="65"/>
  <c r="AH53" i="65"/>
  <c r="AF53" i="65"/>
  <c r="AN53" i="65"/>
  <c r="M54" i="65" l="1"/>
  <c r="H67" i="65"/>
  <c r="H60" i="65"/>
  <c r="AE53" i="65"/>
  <c r="AD53" i="65"/>
  <c r="AK53" i="65"/>
  <c r="I67" i="65" l="1"/>
  <c r="M55" i="65"/>
  <c r="AJ53" i="65"/>
  <c r="AC53" i="65" l="1"/>
  <c r="W53" i="65"/>
  <c r="AI53" i="65"/>
  <c r="X53" i="65"/>
  <c r="Z53" i="65"/>
  <c r="L54" i="65" l="1"/>
  <c r="H59" i="65"/>
  <c r="H66" i="65"/>
  <c r="I54" i="65"/>
  <c r="H58" i="65"/>
  <c r="H65" i="65"/>
  <c r="AB53" i="65"/>
  <c r="I66" i="65" l="1"/>
  <c r="M59" i="65"/>
  <c r="I55" i="65"/>
  <c r="M58" i="65"/>
  <c r="L55" i="65"/>
  <c r="I65" i="65"/>
  <c r="F53" i="65"/>
  <c r="BE34" i="65"/>
  <c r="BE53" i="65" l="1"/>
  <c r="BK34" i="65"/>
  <c r="H57" i="65" l="1"/>
  <c r="M57" i="65" s="1"/>
  <c r="H54" i="65"/>
  <c r="H64" i="65"/>
  <c r="G54" i="65"/>
  <c r="BK53" i="65"/>
  <c r="I64" i="65" l="1"/>
  <c r="H55" i="65"/>
  <c r="H68" i="65"/>
  <c r="H61" i="65"/>
  <c r="M61" i="65" s="1"/>
  <c r="G53" i="65"/>
  <c r="I68" i="65" l="1"/>
  <c r="F55" i="65"/>
  <c r="G55" i="65"/>
</calcChain>
</file>

<file path=xl/sharedStrings.xml><?xml version="1.0" encoding="utf-8"?>
<sst xmlns="http://schemas.openxmlformats.org/spreadsheetml/2006/main" count="319" uniqueCount="174">
  <si>
    <t>МБ</t>
  </si>
  <si>
    <t>№
 п/п</t>
  </si>
  <si>
    <t>КЦСР</t>
  </si>
  <si>
    <t>3.1.</t>
  </si>
  <si>
    <t>3.2.</t>
  </si>
  <si>
    <t>-</t>
  </si>
  <si>
    <t>Подпрограммы, основные мероприятия и отдельные мероприятия МП</t>
  </si>
  <si>
    <t>Код бюджетной классификации</t>
  </si>
  <si>
    <t>КБ</t>
  </si>
  <si>
    <t>Объем финансирования, тыс. руб.</t>
  </si>
  <si>
    <t>Средства дорожного фонда</t>
  </si>
  <si>
    <t xml:space="preserve">Организация воздушных пассажирских перевозок по маршруту Норильск – Снежногорск - Норильск  </t>
  </si>
  <si>
    <t>1.1.</t>
  </si>
  <si>
    <t>Организация мониторинга за работой общественного автомобильного транспорта</t>
  </si>
  <si>
    <t>Уборка территории и аналогичная деятельность</t>
  </si>
  <si>
    <t>Осуществление приносящей доход деятельности</t>
  </si>
  <si>
    <t>Приобретение основных средств</t>
  </si>
  <si>
    <t>12.3.00.00000</t>
  </si>
  <si>
    <t>12.3.00.00300</t>
  </si>
  <si>
    <t>12.2.00.00000</t>
  </si>
  <si>
    <t>12.2.00.00400</t>
  </si>
  <si>
    <t>Внебюджетные источники</t>
  </si>
  <si>
    <t>3.3.</t>
  </si>
  <si>
    <t>12.1.00.00000</t>
  </si>
  <si>
    <t>Содержание дорожного хозяйства</t>
  </si>
  <si>
    <t>1.1.1</t>
  </si>
  <si>
    <t>1.1.2</t>
  </si>
  <si>
    <t>1.1.3</t>
  </si>
  <si>
    <t>Содержание автомобильных дорог поселка Снежногорск</t>
  </si>
  <si>
    <t>1.1.4</t>
  </si>
  <si>
    <t>Содержание системы видеонаблюдения</t>
  </si>
  <si>
    <t>1.1.5</t>
  </si>
  <si>
    <t>1.1.8</t>
  </si>
  <si>
    <t>Ремонтные работы дорожного хозяйства</t>
  </si>
  <si>
    <t>Выполнение проектных работ</t>
  </si>
  <si>
    <t>Обеспечение эффективного управления отраслью</t>
  </si>
  <si>
    <t>Обеспечение выполнения функций органами местного самоуправления в части решения вопросов местного значения</t>
  </si>
  <si>
    <t>1.2</t>
  </si>
  <si>
    <t>1.3</t>
  </si>
  <si>
    <t>1.4</t>
  </si>
  <si>
    <t>1.5</t>
  </si>
  <si>
    <t>1.6</t>
  </si>
  <si>
    <t>2.1</t>
  </si>
  <si>
    <t>2.2</t>
  </si>
  <si>
    <t>12.1.00.00300</t>
  </si>
  <si>
    <t>12.4.00.00500</t>
  </si>
  <si>
    <t>12.4.00.00000</t>
  </si>
  <si>
    <t>12.2.00.00100</t>
  </si>
  <si>
    <t>Средства на работы по предписаниям контрольных (надзорных) органов</t>
  </si>
  <si>
    <t>ИТОГО</t>
  </si>
  <si>
    <t>Средства муниципального дорожного фонда</t>
  </si>
  <si>
    <t>Средства ДФ Красноярского края на формирование дорожного фонда г. Норильска</t>
  </si>
  <si>
    <t>Содержание  автомобильных дорог</t>
  </si>
  <si>
    <t xml:space="preserve">12.1.00.00130 </t>
  </si>
  <si>
    <t xml:space="preserve">12.1.00.00110                </t>
  </si>
  <si>
    <t xml:space="preserve">12.2.00.00210        </t>
  </si>
  <si>
    <t>Содержание линий наружного освещения автомобильных дорог</t>
  </si>
  <si>
    <t xml:space="preserve">Плата за расход электроэнергии на освещение автомобильных дорог </t>
  </si>
  <si>
    <t xml:space="preserve">Прочие работы по содержанию автомобильных дорог </t>
  </si>
  <si>
    <t xml:space="preserve">Выполнение работ, связанных с осуществлением регулярных пассажирских перевозок по регулируемым тарифам по муниципальным маршрутам регулярных перевозок на территории муниципального образования город Норильск </t>
  </si>
  <si>
    <t>12.2.00.00700</t>
  </si>
  <si>
    <t>Итого  
финанси-
рование 
 2021  
  год</t>
  </si>
  <si>
    <t>Строительство, реконструкция, капитальный ремонт дорожного хозяйства (капитальные вложения)</t>
  </si>
  <si>
    <t>Архитектурно-художественное оформление улично-дорожной сети</t>
  </si>
  <si>
    <t>1.7</t>
  </si>
  <si>
    <t xml:space="preserve">12.1.00.00180        </t>
  </si>
  <si>
    <t>12.1.00.00400</t>
  </si>
  <si>
    <t>12.1.00.00600</t>
  </si>
  <si>
    <t>(6+7+10+11)</t>
  </si>
  <si>
    <t>(13+14+17+18)</t>
  </si>
  <si>
    <t xml:space="preserve">НАПРАВЛЕНИЯ И ОБЪЕМЫ ФИНАНСИРОВАНИЯ МП "РАЗВИТИЕ ТРАНСПОРТНОЙ СИСТЕМЫ" </t>
  </si>
  <si>
    <t>12.1.00.00700</t>
  </si>
  <si>
    <t>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</t>
  </si>
  <si>
    <t>Итого</t>
  </si>
  <si>
    <t>Итого  
финанси-
рование 
 2018  
  год</t>
  </si>
  <si>
    <t>Итого  
финанси-
рование 
 2017  
  год</t>
  </si>
  <si>
    <t>Итого  
финанси-
рование 
 2019 
  год</t>
  </si>
  <si>
    <t>Итого  
финанси-
рование 
 2020 
  год</t>
  </si>
  <si>
    <t>Итого  
финанси-
рование 
 2022
  год</t>
  </si>
  <si>
    <t>Итого  
финанси-
рование 
 2023
  год</t>
  </si>
  <si>
    <t>12.1.00.00200</t>
  </si>
  <si>
    <t>Подпрограмма 3: "Создание условий для развития воздушного и автомобильного пассажирского транспорта"</t>
  </si>
  <si>
    <t>Подпрограмма 2: "Повышение безопасности дорожного движения на автомобильных дорогах общего пользования муниципального образования город Норильск"</t>
  </si>
  <si>
    <t>Наименование ГРБС/Участника</t>
  </si>
  <si>
    <t>Установка дорожных ограждений на участках автомобильных дорог</t>
  </si>
  <si>
    <t>12.1.00.00.140</t>
  </si>
  <si>
    <t>12.1.00.00.160</t>
  </si>
  <si>
    <t>Приведение средств организации дорожного движения требованиям ГОСТ</t>
  </si>
  <si>
    <t>12.4.00.00800</t>
  </si>
  <si>
    <t>МУ "Управление имущества Администрации города Норильска"</t>
  </si>
  <si>
    <t>12.2.00.00900</t>
  </si>
  <si>
    <t>3.5.</t>
  </si>
  <si>
    <t>12.2.00.00910</t>
  </si>
  <si>
    <t>Увеличение уставного фонда МУП «НПОПАТ» путем приобретения электробусов с необходимой инфраструктурой</t>
  </si>
  <si>
    <t>Итого  
финанси-
рование 
 2024
  год</t>
  </si>
  <si>
    <t>12.2.00.00800</t>
  </si>
  <si>
    <t>12.2.00.00300</t>
  </si>
  <si>
    <t>к муниципальной программе "Развитие транспортной системы",</t>
  </si>
  <si>
    <t xml:space="preserve">12.3.00.00100
</t>
  </si>
  <si>
    <t xml:space="preserve">12.3.00.00200
</t>
  </si>
  <si>
    <t xml:space="preserve">
12.1.00.00510</t>
  </si>
  <si>
    <t xml:space="preserve">
12.1.00.00500</t>
  </si>
  <si>
    <t>3.6.</t>
  </si>
  <si>
    <t>3.8.</t>
  </si>
  <si>
    <t>(6+7+10)</t>
  </si>
  <si>
    <t>Иные направления расходования средств, в том числе средств дорожного фонда</t>
  </si>
  <si>
    <t>Совершенствование транспортного обслуживания населения муниципального образования город Норильск, в том числе приобретение товаров и услуг</t>
  </si>
  <si>
    <t xml:space="preserve">12.2.00.01000 </t>
  </si>
  <si>
    <t>Актуализация и приведение в соответствие программы комплексного развития транспортной инфраструктуры городского округа Норильск</t>
  </si>
  <si>
    <t>12.5.00.00100</t>
  </si>
  <si>
    <t>(8+9)</t>
  </si>
  <si>
    <t>ДФ</t>
  </si>
  <si>
    <t>ВБ</t>
  </si>
  <si>
    <t>Содержание и обустройство автопавильонов</t>
  </si>
  <si>
    <t>Безопасность дорожного движения</t>
  </si>
  <si>
    <t>12.1.00.00800</t>
  </si>
  <si>
    <t>Обустройство автобусных остановок отапливаемыми павильонами</t>
  </si>
  <si>
    <t>(6+7+8)</t>
  </si>
  <si>
    <t xml:space="preserve">12.1.00.00100
</t>
  </si>
  <si>
    <t xml:space="preserve">12.1.00.00120
              </t>
  </si>
  <si>
    <t xml:space="preserve">
12.1.0000170  </t>
  </si>
  <si>
    <t xml:space="preserve">
12.1.00.00190</t>
  </si>
  <si>
    <t>Подпрограмма 1: "Дорожное хозяйство и безопасность дорожного движения"</t>
  </si>
  <si>
    <t>утвержденной постановлением Администрации города Норильска от  07.12.2016 №589</t>
  </si>
  <si>
    <t>Обновление муниципального пассажирского транспорта</t>
  </si>
  <si>
    <t>Организация заказных пассажирских перевозок автомобильным транспортом в особых метеорологических условиях</t>
  </si>
  <si>
    <t>3.10.</t>
  </si>
  <si>
    <t>Увеличение уставного фонда МУП "НПОПАТ" путем приобретения автобусов</t>
  </si>
  <si>
    <t>Итого  
финанси-
рование 
 2025
  год</t>
  </si>
  <si>
    <t>Итого  
финанси-
рование 
 2026
  год</t>
  </si>
  <si>
    <t>2.1.</t>
  </si>
  <si>
    <t>2.2.</t>
  </si>
  <si>
    <t>2.3.</t>
  </si>
  <si>
    <t>2.4.</t>
  </si>
  <si>
    <t>2.5.</t>
  </si>
  <si>
    <t>2.6.</t>
  </si>
  <si>
    <t>ВИ</t>
  </si>
  <si>
    <t>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низкой интенсивностью пассажирских потоков</t>
  </si>
  <si>
    <t>Подпрограмма 4: "Обслуживание муниципального транспорта"</t>
  </si>
  <si>
    <t>Отдельное мероприятие 1: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договорами"</t>
  </si>
  <si>
    <t>Итого  
финанси-
рование 
 2027
  год</t>
  </si>
  <si>
    <t>МУ "Управление городского хозяйства Администрации города Норильска"/ МКУ "Норильскавтодор", МУ "Управление дорожно-транспортной инфраструктуры Администрации города Норильска" / МКУ "Норильскавтодор"</t>
  </si>
  <si>
    <t xml:space="preserve">МУ "Управление дорожно-транспортной инфраструктуры Администрации города Норильска" </t>
  </si>
  <si>
    <t>испр</t>
  </si>
  <si>
    <t>2025-2028</t>
  </si>
  <si>
    <t>1.5.1</t>
  </si>
  <si>
    <t>2.7</t>
  </si>
  <si>
    <t>Субсидия муниципальному унитарному предприятию муниципального образования город Норильск "Норильский транспорт" на финансовое обеспечение затрат в связи с выполнением работ, оказанием услуг в целях осуществления им уставных видов деятельности</t>
  </si>
  <si>
    <t>12.2.00.02000</t>
  </si>
  <si>
    <t>12.2.00.S6430</t>
  </si>
  <si>
    <t xml:space="preserve">Субсидия муниципальному унитарному предприятию муниципального образования город Норильск «Норильский транспорт» на финансовое обеспечение затрат по уплате лизинговых платежей по договорам финансовой аренды (лизинга) автобусов на газомоторном топливе </t>
  </si>
  <si>
    <t>2.8</t>
  </si>
  <si>
    <t>МУ "Управление дорожно-транспортной инфраструктуры Администрации города Норильска", МУ "Управление городского хозяйства Администрации города Норильска"</t>
  </si>
  <si>
    <t xml:space="preserve">МУ "Управление дорожно-транспортной инфраструктуры Администрации города Норильска", МУ "Управление городского хозяйства Администрации города Норильска" </t>
  </si>
  <si>
    <t>"Управление дорожно-транспортной инфраструктуры Администрации города Норильска" / МКУ "Норильскавтодор", МУ "Управление городского хозяйства Администрации города Норильска" / МКУ "Норильскавтодор"</t>
  </si>
  <si>
    <t>МУ "Управление дорожно-транспортной инфраструктуры Администрации города Норильска" / МКУ "Норильскавтодор", МУ "Управление городского хозяйства Администрации города Норильска" / МКУ "Норильскавтодор"</t>
  </si>
  <si>
    <t>МУ "Управление дорожно-транспортной инфраструктуры Администрации города Норильска"/МБУ "Автохозяйство", МУ "Управление городского хозяйства Администрации города Норильска"/МБУ "Автохозяйство"</t>
  </si>
  <si>
    <t xml:space="preserve">Приложение № 5                                                                                                                           </t>
  </si>
  <si>
    <t>Общий  
 объем  
финанси-
рования,
тыс.руб.
2025-2028</t>
  </si>
  <si>
    <t>Общий  
 объем  
финанси-
рования,
тыс.руб.
2017-2024</t>
  </si>
  <si>
    <t xml:space="preserve">Общий  
 объем  
финанси-
рования,
тыс.руб.
2017-2028
</t>
  </si>
  <si>
    <t>Итого  
финанси-
рование 
 2028
  год</t>
  </si>
  <si>
    <t>(21+22+23+24)</t>
  </si>
  <si>
    <t>(16+17+18+19)</t>
  </si>
  <si>
    <t>(11+12+13+14)</t>
  </si>
  <si>
    <t>(6+7+8+9)</t>
  </si>
  <si>
    <t>(10+15+20+25)</t>
  </si>
  <si>
    <t xml:space="preserve"> МУ "Управление дорожно-транспортной инфраструктуры Администрации города Норильска" / МКУ "Норильскавтодор",  МУ "Управление городского хозяйства Администрации города Норильска" / МКУ "Управление жилищно-коммунального хозяйства",  МУ "Управление городского хозяйства Администрации города Норильска" / МКУ "Норильскавтодор"</t>
  </si>
  <si>
    <t>МУ "Управление дорожно-транспортной инфраструктуры Администрации города Норильска" / МКУ "Норильскавтодор", МУ "Управление городского хозяйства Администрации города Норильска" / МКУ "Управление жилищно-коммунального хозяйства"</t>
  </si>
  <si>
    <t xml:space="preserve"> МУ "Управление дорожно-транспортной инфраструктуры Администрации города Норильска" / МКУ "Норильскавтодор"</t>
  </si>
  <si>
    <t xml:space="preserve"> МУ "Управление дорожно-транспортной инфраструктуры Администрации города Норильска",  МУ "Управление городского хозяйства Администрации города Норильска", МУ "Управление имущества Администрации города Норильска"</t>
  </si>
  <si>
    <t>2017-2024</t>
  </si>
  <si>
    <t>МУ "Управление дорожно-транспортной инфраструктуры Администрации города Норильска"</t>
  </si>
  <si>
    <t>МУ "Управление дорожно-транспортной инфраструктуры Администрации города Норильска" / МКУ "Норильскавтодор"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</si>
</sst>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#,##0.0"/>
    <numFmt numFmtId="166" formatCode="\$#,##0\ ;\(\$#,##0\)"/>
    <numFmt numFmtId="167" formatCode="_(* #,##0_);_(* \(#,##0\);_(* &quot;-&quot;_);_(@_)"/>
    <numFmt numFmtId="168" formatCode="_(* #,##0.00_);_(* \(#,##0.00\);_(* &quot;-&quot;??_);_(@_)"/>
    <numFmt numFmtId="169" formatCode="_-* #,##0.0_р_._-;\-* #,##0.0_р_._-;_-* &quot;-&quot;?_р_._-;_-@_-"/>
    <numFmt numFmtId="170" formatCode="_-* #,##0.0_р_._-;\-* #,##0.0_р_._-;_-* &quot;-&quot;??_р_._-;_-@_-"/>
    <numFmt numFmtId="171" formatCode="0.0"/>
    <numFmt numFmtId="172" formatCode="_-* #,##0.0\ _₽_-;\-* #,##0.0\ _₽_-;_-* &quot;-&quot;?\ _₽_-;_-@_-"/>
    <numFmt numFmtId="173" formatCode="#,##0.0_ ;\-#,##0.0\ 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name val="TimesET"/>
    </font>
    <font>
      <b/>
      <sz val="18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2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u/>
      <sz val="1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  <bgColor rgb="FF000000"/>
      </patternFill>
    </fill>
  </fills>
  <borders count="3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1" applyNumberFormat="0" applyFont="0" applyFill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1" fillId="0" borderId="0"/>
    <xf numFmtId="9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</cellStyleXfs>
  <cellXfs count="243">
    <xf numFmtId="0" fontId="0" fillId="0" borderId="0" xfId="0"/>
    <xf numFmtId="0" fontId="4" fillId="0" borderId="0" xfId="0" applyFont="1" applyFill="1" applyBorder="1"/>
    <xf numFmtId="0" fontId="4" fillId="0" borderId="3" xfId="0" applyFont="1" applyFill="1" applyBorder="1"/>
    <xf numFmtId="0" fontId="13" fillId="0" borderId="0" xfId="0" applyFont="1" applyFill="1" applyBorder="1" applyAlignment="1">
      <alignment vertical="top" wrapText="1"/>
    </xf>
    <xf numFmtId="0" fontId="4" fillId="0" borderId="0" xfId="0" applyFont="1" applyFill="1"/>
    <xf numFmtId="0" fontId="19" fillId="0" borderId="0" xfId="0" applyFont="1" applyFill="1"/>
    <xf numFmtId="0" fontId="23" fillId="0" borderId="0" xfId="0" applyFont="1" applyFill="1" applyBorder="1" applyAlignment="1">
      <alignment vertical="top" wrapText="1"/>
    </xf>
    <xf numFmtId="0" fontId="23" fillId="0" borderId="0" xfId="0" applyFont="1" applyFill="1"/>
    <xf numFmtId="2" fontId="21" fillId="0" borderId="2" xfId="0" applyNumberFormat="1" applyFont="1" applyFill="1" applyBorder="1" applyAlignment="1">
      <alignment horizontal="center" vertical="center" wrapText="1"/>
    </xf>
    <xf numFmtId="2" fontId="21" fillId="0" borderId="2" xfId="0" applyNumberFormat="1" applyFont="1" applyFill="1" applyBorder="1" applyAlignment="1">
      <alignment horizontal="left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Fill="1"/>
    <xf numFmtId="165" fontId="21" fillId="0" borderId="2" xfId="0" applyNumberFormat="1" applyFont="1" applyFill="1" applyBorder="1" applyAlignment="1">
      <alignment horizontal="left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22" fillId="0" borderId="0" xfId="0" applyFont="1" applyFill="1" applyBorder="1" applyAlignment="1"/>
    <xf numFmtId="2" fontId="20" fillId="0" borderId="10" xfId="0" applyNumberFormat="1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172" fontId="23" fillId="0" borderId="0" xfId="0" applyNumberFormat="1" applyFont="1" applyFill="1"/>
    <xf numFmtId="0" fontId="20" fillId="0" borderId="2" xfId="0" applyFont="1" applyFill="1" applyBorder="1" applyAlignment="1">
      <alignment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0" fontId="20" fillId="0" borderId="2" xfId="0" quotePrefix="1" applyFont="1" applyFill="1" applyBorder="1" applyAlignment="1">
      <alignment horizontal="center" vertical="center"/>
    </xf>
    <xf numFmtId="0" fontId="21" fillId="0" borderId="2" xfId="0" applyNumberFormat="1" applyFont="1" applyFill="1" applyBorder="1" applyAlignment="1">
      <alignment horizontal="center" vertical="center" wrapText="1"/>
    </xf>
    <xf numFmtId="2" fontId="21" fillId="0" borderId="10" xfId="0" applyNumberFormat="1" applyFont="1" applyFill="1" applyBorder="1" applyAlignment="1">
      <alignment horizontal="center" vertical="center" wrapText="1"/>
    </xf>
    <xf numFmtId="49" fontId="21" fillId="0" borderId="10" xfId="0" applyNumberFormat="1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vertical="center" wrapText="1"/>
    </xf>
    <xf numFmtId="2" fontId="21" fillId="0" borderId="2" xfId="0" applyNumberFormat="1" applyFont="1" applyFill="1" applyBorder="1" applyAlignment="1">
      <alignment vertical="center" wrapText="1"/>
    </xf>
    <xf numFmtId="170" fontId="21" fillId="0" borderId="2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left" vertical="center" wrapText="1"/>
    </xf>
    <xf numFmtId="170" fontId="4" fillId="0" borderId="0" xfId="0" applyNumberFormat="1" applyFont="1" applyFill="1"/>
    <xf numFmtId="0" fontId="13" fillId="2" borderId="0" xfId="0" applyFont="1" applyFill="1" applyBorder="1" applyAlignment="1">
      <alignment vertical="top" wrapText="1"/>
    </xf>
    <xf numFmtId="170" fontId="13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/>
    <xf numFmtId="164" fontId="4" fillId="2" borderId="0" xfId="0" applyNumberFormat="1" applyFont="1" applyFill="1" applyBorder="1"/>
    <xf numFmtId="0" fontId="4" fillId="2" borderId="0" xfId="0" applyFont="1" applyFill="1" applyBorder="1"/>
    <xf numFmtId="0" fontId="20" fillId="2" borderId="2" xfId="0" applyFont="1" applyFill="1" applyBorder="1" applyAlignment="1">
      <alignment vertical="center" wrapText="1"/>
    </xf>
    <xf numFmtId="170" fontId="4" fillId="2" borderId="0" xfId="0" applyNumberFormat="1" applyFont="1" applyFill="1"/>
    <xf numFmtId="169" fontId="4" fillId="2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169" fontId="4" fillId="2" borderId="2" xfId="0" applyNumberFormat="1" applyFont="1" applyFill="1" applyBorder="1"/>
    <xf numFmtId="172" fontId="23" fillId="2" borderId="0" xfId="0" applyNumberFormat="1" applyFont="1" applyFill="1"/>
    <xf numFmtId="172" fontId="4" fillId="2" borderId="0" xfId="0" applyNumberFormat="1" applyFont="1" applyFill="1"/>
    <xf numFmtId="164" fontId="4" fillId="2" borderId="2" xfId="0" applyNumberFormat="1" applyFont="1" applyFill="1" applyBorder="1"/>
    <xf numFmtId="169" fontId="4" fillId="0" borderId="0" xfId="0" applyNumberFormat="1" applyFont="1" applyFill="1" applyBorder="1"/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169" fontId="4" fillId="0" borderId="0" xfId="0" applyNumberFormat="1" applyFont="1" applyFill="1"/>
    <xf numFmtId="0" fontId="27" fillId="0" borderId="0" xfId="0" applyFont="1" applyFill="1"/>
    <xf numFmtId="169" fontId="9" fillId="3" borderId="20" xfId="0" applyNumberFormat="1" applyFont="1" applyFill="1" applyBorder="1" applyAlignment="1">
      <alignment horizontal="center" vertical="center"/>
    </xf>
    <xf numFmtId="169" fontId="24" fillId="3" borderId="2" xfId="15" applyNumberFormat="1" applyFont="1" applyFill="1" applyBorder="1" applyAlignment="1">
      <alignment horizontal="center" vertical="center" wrapText="1"/>
    </xf>
    <xf numFmtId="169" fontId="24" fillId="3" borderId="2" xfId="0" applyNumberFormat="1" applyFont="1" applyFill="1" applyBorder="1" applyAlignment="1">
      <alignment horizontal="center" vertical="center" wrapText="1"/>
    </xf>
    <xf numFmtId="169" fontId="24" fillId="3" borderId="11" xfId="0" applyNumberFormat="1" applyFont="1" applyFill="1" applyBorder="1" applyAlignment="1">
      <alignment horizontal="center" vertical="center" wrapText="1"/>
    </xf>
    <xf numFmtId="169" fontId="9" fillId="3" borderId="2" xfId="0" applyNumberFormat="1" applyFont="1" applyFill="1" applyBorder="1" applyAlignment="1">
      <alignment horizontal="center" vertical="center" wrapText="1"/>
    </xf>
    <xf numFmtId="169" fontId="9" fillId="3" borderId="11" xfId="0" applyNumberFormat="1" applyFont="1" applyFill="1" applyBorder="1" applyAlignment="1">
      <alignment horizontal="center" vertical="center" wrapText="1"/>
    </xf>
    <xf numFmtId="169" fontId="26" fillId="3" borderId="2" xfId="15" applyNumberFormat="1" applyFont="1" applyFill="1" applyBorder="1" applyAlignment="1">
      <alignment horizontal="center" vertical="center" wrapText="1"/>
    </xf>
    <xf numFmtId="169" fontId="9" fillId="3" borderId="20" xfId="0" applyNumberFormat="1" applyFont="1" applyFill="1" applyBorder="1" applyAlignment="1">
      <alignment horizontal="center" vertical="center" wrapText="1"/>
    </xf>
    <xf numFmtId="170" fontId="9" fillId="0" borderId="2" xfId="0" applyNumberFormat="1" applyFont="1" applyFill="1" applyBorder="1" applyAlignment="1">
      <alignment horizontal="center" vertical="center" wrapText="1"/>
    </xf>
    <xf numFmtId="170" fontId="24" fillId="0" borderId="2" xfId="0" applyNumberFormat="1" applyFont="1" applyFill="1" applyBorder="1" applyAlignment="1">
      <alignment horizontal="center" vertical="center" wrapText="1"/>
    </xf>
    <xf numFmtId="169" fontId="9" fillId="4" borderId="2" xfId="0" applyNumberFormat="1" applyFont="1" applyFill="1" applyBorder="1" applyAlignment="1">
      <alignment horizontal="center" vertical="center" wrapText="1"/>
    </xf>
    <xf numFmtId="169" fontId="9" fillId="4" borderId="11" xfId="0" applyNumberFormat="1" applyFont="1" applyFill="1" applyBorder="1" applyAlignment="1">
      <alignment horizontal="center" vertical="center" wrapText="1"/>
    </xf>
    <xf numFmtId="169" fontId="24" fillId="4" borderId="2" xfId="0" applyNumberFormat="1" applyFont="1" applyFill="1" applyBorder="1" applyAlignment="1">
      <alignment horizontal="center" vertical="center" wrapText="1"/>
    </xf>
    <xf numFmtId="169" fontId="24" fillId="4" borderId="11" xfId="0" applyNumberFormat="1" applyFont="1" applyFill="1" applyBorder="1" applyAlignment="1">
      <alignment horizontal="center" vertical="center" wrapText="1"/>
    </xf>
    <xf numFmtId="169" fontId="24" fillId="4" borderId="2" xfId="15" applyNumberFormat="1" applyFont="1" applyFill="1" applyBorder="1" applyAlignment="1">
      <alignment horizontal="center" vertical="center" wrapText="1"/>
    </xf>
    <xf numFmtId="1" fontId="21" fillId="5" borderId="21" xfId="0" applyNumberFormat="1" applyFont="1" applyFill="1" applyBorder="1" applyAlignment="1">
      <alignment horizontal="center" vertical="center" wrapText="1"/>
    </xf>
    <xf numFmtId="2" fontId="21" fillId="5" borderId="16" xfId="0" applyNumberFormat="1" applyFont="1" applyFill="1" applyBorder="1" applyAlignment="1">
      <alignment horizontal="left" vertical="center" wrapText="1"/>
    </xf>
    <xf numFmtId="2" fontId="21" fillId="5" borderId="16" xfId="0" applyNumberFormat="1" applyFont="1" applyFill="1" applyBorder="1" applyAlignment="1">
      <alignment horizontal="center" vertical="center" wrapText="1"/>
    </xf>
    <xf numFmtId="0" fontId="21" fillId="5" borderId="16" xfId="0" applyNumberFormat="1" applyFont="1" applyFill="1" applyBorder="1" applyAlignment="1">
      <alignment horizontal="center" vertical="center" wrapText="1"/>
    </xf>
    <xf numFmtId="169" fontId="9" fillId="5" borderId="16" xfId="0" applyNumberFormat="1" applyFont="1" applyFill="1" applyBorder="1" applyAlignment="1">
      <alignment horizontal="center" vertical="center" wrapText="1"/>
    </xf>
    <xf numFmtId="170" fontId="9" fillId="5" borderId="16" xfId="0" applyNumberFormat="1" applyFont="1" applyFill="1" applyBorder="1" applyAlignment="1">
      <alignment horizontal="center" vertical="center" wrapText="1"/>
    </xf>
    <xf numFmtId="0" fontId="19" fillId="5" borderId="0" xfId="0" applyFont="1" applyFill="1"/>
    <xf numFmtId="3" fontId="21" fillId="5" borderId="10" xfId="0" applyNumberFormat="1" applyFont="1" applyFill="1" applyBorder="1" applyAlignment="1">
      <alignment horizontal="center" vertical="center" wrapText="1"/>
    </xf>
    <xf numFmtId="165" fontId="21" fillId="5" borderId="2" xfId="0" applyNumberFormat="1" applyFont="1" applyFill="1" applyBorder="1" applyAlignment="1">
      <alignment horizontal="left" vertical="center" wrapText="1"/>
    </xf>
    <xf numFmtId="165" fontId="21" fillId="5" borderId="2" xfId="0" applyNumberFormat="1" applyFont="1" applyFill="1" applyBorder="1" applyAlignment="1">
      <alignment horizontal="center" vertical="center" wrapText="1"/>
    </xf>
    <xf numFmtId="169" fontId="9" fillId="5" borderId="2" xfId="0" applyNumberFormat="1" applyFont="1" applyFill="1" applyBorder="1" applyAlignment="1">
      <alignment horizontal="center" vertical="center" wrapText="1"/>
    </xf>
    <xf numFmtId="169" fontId="9" fillId="5" borderId="11" xfId="0" applyNumberFormat="1" applyFont="1" applyFill="1" applyBorder="1" applyAlignment="1">
      <alignment horizontal="center" vertical="center" wrapText="1"/>
    </xf>
    <xf numFmtId="165" fontId="4" fillId="5" borderId="0" xfId="0" applyNumberFormat="1" applyFont="1" applyFill="1"/>
    <xf numFmtId="1" fontId="21" fillId="5" borderId="10" xfId="0" applyNumberFormat="1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vertical="center" wrapText="1"/>
    </xf>
    <xf numFmtId="0" fontId="21" fillId="5" borderId="2" xfId="0" quotePrefix="1" applyFont="1" applyFill="1" applyBorder="1" applyAlignment="1">
      <alignment horizontal="center" vertical="center"/>
    </xf>
    <xf numFmtId="170" fontId="9" fillId="5" borderId="2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1" fontId="21" fillId="5" borderId="17" xfId="0" applyNumberFormat="1" applyFont="1" applyFill="1" applyBorder="1" applyAlignment="1">
      <alignment horizontal="center" vertical="center" wrapText="1"/>
    </xf>
    <xf numFmtId="2" fontId="21" fillId="5" borderId="15" xfId="0" applyNumberFormat="1" applyFont="1" applyFill="1" applyBorder="1" applyAlignment="1">
      <alignment horizontal="left" vertical="center" wrapText="1"/>
    </xf>
    <xf numFmtId="0" fontId="21" fillId="5" borderId="15" xfId="0" applyFont="1" applyFill="1" applyBorder="1" applyAlignment="1">
      <alignment horizontal="center" vertical="center"/>
    </xf>
    <xf numFmtId="169" fontId="9" fillId="5" borderId="15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169" fontId="24" fillId="0" borderId="2" xfId="0" applyNumberFormat="1" applyFont="1" applyFill="1" applyBorder="1" applyAlignment="1">
      <alignment horizontal="center" vertical="center" wrapText="1"/>
    </xf>
    <xf numFmtId="169" fontId="9" fillId="0" borderId="2" xfId="0" applyNumberFormat="1" applyFont="1" applyFill="1" applyBorder="1" applyAlignment="1">
      <alignment horizontal="center" vertical="center" wrapText="1"/>
    </xf>
    <xf numFmtId="169" fontId="9" fillId="0" borderId="16" xfId="0" applyNumberFormat="1" applyFont="1" applyFill="1" applyBorder="1" applyAlignment="1">
      <alignment horizontal="center" vertical="center" wrapText="1"/>
    </xf>
    <xf numFmtId="169" fontId="24" fillId="0" borderId="2" xfId="15" applyNumberFormat="1" applyFont="1" applyFill="1" applyBorder="1" applyAlignment="1">
      <alignment horizontal="center" vertical="center" wrapText="1"/>
    </xf>
    <xf numFmtId="169" fontId="9" fillId="0" borderId="11" xfId="0" applyNumberFormat="1" applyFont="1" applyFill="1" applyBorder="1" applyAlignment="1">
      <alignment horizontal="center" vertical="center" wrapText="1"/>
    </xf>
    <xf numFmtId="173" fontId="24" fillId="0" borderId="2" xfId="15" applyNumberFormat="1" applyFont="1" applyFill="1" applyBorder="1" applyAlignment="1">
      <alignment horizontal="right" vertical="center" wrapText="1"/>
    </xf>
    <xf numFmtId="173" fontId="24" fillId="0" borderId="2" xfId="0" applyNumberFormat="1" applyFont="1" applyFill="1" applyBorder="1" applyAlignment="1">
      <alignment horizontal="right" vertical="center" wrapText="1"/>
    </xf>
    <xf numFmtId="173" fontId="24" fillId="0" borderId="2" xfId="15" applyNumberFormat="1" applyFont="1" applyFill="1" applyBorder="1" applyAlignment="1">
      <alignment horizontal="center" vertical="center" wrapText="1"/>
    </xf>
    <xf numFmtId="169" fontId="25" fillId="0" borderId="2" xfId="15" applyNumberFormat="1" applyFont="1" applyFill="1" applyBorder="1" applyAlignment="1">
      <alignment horizontal="center" vertical="center" wrapText="1"/>
    </xf>
    <xf numFmtId="169" fontId="25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horizontal="right" vertical="center" wrapText="1"/>
    </xf>
    <xf numFmtId="170" fontId="24" fillId="0" borderId="2" xfId="0" applyNumberFormat="1" applyFont="1" applyFill="1" applyBorder="1" applyAlignment="1">
      <alignment horizontal="right" vertical="center" wrapText="1"/>
    </xf>
    <xf numFmtId="165" fontId="24" fillId="0" borderId="2" xfId="0" applyNumberFormat="1" applyFont="1" applyFill="1" applyBorder="1" applyAlignment="1">
      <alignment horizontal="center" vertical="center" wrapText="1"/>
    </xf>
    <xf numFmtId="169" fontId="24" fillId="0" borderId="11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169" fontId="9" fillId="0" borderId="20" xfId="0" applyNumberFormat="1" applyFont="1" applyFill="1" applyBorder="1" applyAlignment="1">
      <alignment horizontal="center" vertical="center"/>
    </xf>
    <xf numFmtId="169" fontId="9" fillId="0" borderId="18" xfId="0" applyNumberFormat="1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/>
    </xf>
    <xf numFmtId="169" fontId="24" fillId="0" borderId="23" xfId="0" applyNumberFormat="1" applyFont="1" applyFill="1" applyBorder="1" applyAlignment="1">
      <alignment horizontal="center" vertical="center" wrapText="1"/>
    </xf>
    <xf numFmtId="169" fontId="9" fillId="3" borderId="23" xfId="0" applyNumberFormat="1" applyFont="1" applyFill="1" applyBorder="1" applyAlignment="1">
      <alignment horizontal="center" vertical="center" wrapText="1"/>
    </xf>
    <xf numFmtId="169" fontId="24" fillId="3" borderId="23" xfId="0" applyNumberFormat="1" applyFont="1" applyFill="1" applyBorder="1" applyAlignment="1">
      <alignment horizontal="center" vertical="center" wrapText="1"/>
    </xf>
    <xf numFmtId="169" fontId="9" fillId="5" borderId="23" xfId="0" applyNumberFormat="1" applyFont="1" applyFill="1" applyBorder="1" applyAlignment="1">
      <alignment horizontal="center" vertical="center" wrapText="1"/>
    </xf>
    <xf numFmtId="169" fontId="9" fillId="5" borderId="26" xfId="0" applyNumberFormat="1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/>
    </xf>
    <xf numFmtId="0" fontId="20" fillId="2" borderId="24" xfId="0" applyFont="1" applyFill="1" applyBorder="1" applyAlignment="1">
      <alignment horizontal="center" vertical="center"/>
    </xf>
    <xf numFmtId="169" fontId="9" fillId="5" borderId="25" xfId="0" applyNumberFormat="1" applyFont="1" applyFill="1" applyBorder="1" applyAlignment="1">
      <alignment horizontal="center" vertical="center" wrapText="1"/>
    </xf>
    <xf numFmtId="173" fontId="24" fillId="0" borderId="23" xfId="0" applyNumberFormat="1" applyFont="1" applyFill="1" applyBorder="1" applyAlignment="1">
      <alignment horizontal="right" vertical="center" wrapText="1"/>
    </xf>
    <xf numFmtId="169" fontId="25" fillId="0" borderId="23" xfId="0" applyNumberFormat="1" applyFont="1" applyFill="1" applyBorder="1" applyAlignment="1">
      <alignment horizontal="center" vertical="center" wrapText="1"/>
    </xf>
    <xf numFmtId="169" fontId="24" fillId="0" borderId="23" xfId="15" applyNumberFormat="1" applyFont="1" applyFill="1" applyBorder="1" applyAlignment="1">
      <alignment horizontal="center" vertical="center" wrapText="1"/>
    </xf>
    <xf numFmtId="169" fontId="24" fillId="3" borderId="23" xfId="15" applyNumberFormat="1" applyFont="1" applyFill="1" applyBorder="1" applyAlignment="1">
      <alignment horizontal="center" vertical="center" wrapText="1"/>
    </xf>
    <xf numFmtId="170" fontId="9" fillId="5" borderId="21" xfId="0" applyNumberFormat="1" applyFont="1" applyFill="1" applyBorder="1" applyAlignment="1">
      <alignment horizontal="center" vertical="center" wrapText="1"/>
    </xf>
    <xf numFmtId="170" fontId="9" fillId="5" borderId="27" xfId="0" applyNumberFormat="1" applyFont="1" applyFill="1" applyBorder="1" applyAlignment="1">
      <alignment horizontal="center" vertical="center" wrapText="1"/>
    </xf>
    <xf numFmtId="169" fontId="9" fillId="0" borderId="10" xfId="0" applyNumberFormat="1" applyFont="1" applyFill="1" applyBorder="1" applyAlignment="1">
      <alignment horizontal="center" vertical="center" wrapText="1"/>
    </xf>
    <xf numFmtId="169" fontId="24" fillId="0" borderId="10" xfId="0" applyNumberFormat="1" applyFont="1" applyFill="1" applyBorder="1" applyAlignment="1">
      <alignment horizontal="center" vertical="center" wrapText="1"/>
    </xf>
    <xf numFmtId="170" fontId="9" fillId="0" borderId="10" xfId="0" applyNumberFormat="1" applyFont="1" applyFill="1" applyBorder="1" applyAlignment="1">
      <alignment horizontal="center" vertical="center" wrapText="1"/>
    </xf>
    <xf numFmtId="169" fontId="9" fillId="4" borderId="10" xfId="0" applyNumberFormat="1" applyFont="1" applyFill="1" applyBorder="1" applyAlignment="1">
      <alignment horizontal="center" vertical="center" wrapText="1"/>
    </xf>
    <xf numFmtId="169" fontId="24" fillId="4" borderId="10" xfId="0" applyNumberFormat="1" applyFont="1" applyFill="1" applyBorder="1" applyAlignment="1">
      <alignment horizontal="center" vertical="center" wrapText="1"/>
    </xf>
    <xf numFmtId="169" fontId="9" fillId="5" borderId="10" xfId="0" applyNumberFormat="1" applyFont="1" applyFill="1" applyBorder="1" applyAlignment="1">
      <alignment horizontal="center" vertical="center" wrapText="1"/>
    </xf>
    <xf numFmtId="169" fontId="24" fillId="0" borderId="10" xfId="15" applyNumberFormat="1" applyFont="1" applyFill="1" applyBorder="1" applyAlignment="1">
      <alignment horizontal="center" vertical="center" wrapText="1"/>
    </xf>
    <xf numFmtId="169" fontId="25" fillId="0" borderId="10" xfId="15" applyNumberFormat="1" applyFont="1" applyFill="1" applyBorder="1" applyAlignment="1">
      <alignment horizontal="center" vertical="center" wrapText="1"/>
    </xf>
    <xf numFmtId="169" fontId="24" fillId="4" borderId="10" xfId="15" applyNumberFormat="1" applyFont="1" applyFill="1" applyBorder="1" applyAlignment="1">
      <alignment horizontal="center" vertical="center" wrapText="1"/>
    </xf>
    <xf numFmtId="170" fontId="24" fillId="0" borderId="10" xfId="0" applyNumberFormat="1" applyFont="1" applyFill="1" applyBorder="1" applyAlignment="1">
      <alignment horizontal="center" vertical="center" wrapText="1"/>
    </xf>
    <xf numFmtId="169" fontId="9" fillId="5" borderId="12" xfId="0" applyNumberFormat="1" applyFont="1" applyFill="1" applyBorder="1" applyAlignment="1">
      <alignment horizontal="center" vertical="center" wrapText="1"/>
    </xf>
    <xf numFmtId="169" fontId="9" fillId="5" borderId="13" xfId="0" applyNumberFormat="1" applyFont="1" applyFill="1" applyBorder="1" applyAlignment="1">
      <alignment horizontal="center" vertical="center" wrapText="1"/>
    </xf>
    <xf numFmtId="169" fontId="9" fillId="5" borderId="14" xfId="0" applyNumberFormat="1" applyFont="1" applyFill="1" applyBorder="1" applyAlignment="1">
      <alignment horizontal="center" vertical="center" wrapText="1"/>
    </xf>
    <xf numFmtId="170" fontId="9" fillId="5" borderId="7" xfId="0" applyNumberFormat="1" applyFont="1" applyFill="1" applyBorder="1" applyAlignment="1">
      <alignment horizontal="center" vertical="center" wrapText="1"/>
    </xf>
    <xf numFmtId="170" fontId="9" fillId="5" borderId="9" xfId="0" applyNumberFormat="1" applyFont="1" applyFill="1" applyBorder="1" applyAlignment="1">
      <alignment horizontal="center" vertical="center" wrapText="1"/>
    </xf>
    <xf numFmtId="169" fontId="9" fillId="3" borderId="10" xfId="0" applyNumberFormat="1" applyFont="1" applyFill="1" applyBorder="1" applyAlignment="1">
      <alignment horizontal="center" vertical="center" wrapText="1"/>
    </xf>
    <xf numFmtId="169" fontId="24" fillId="3" borderId="10" xfId="0" applyNumberFormat="1" applyFont="1" applyFill="1" applyBorder="1" applyAlignment="1">
      <alignment horizontal="center" vertical="center" wrapText="1"/>
    </xf>
    <xf numFmtId="169" fontId="24" fillId="3" borderId="10" xfId="15" applyNumberFormat="1" applyFont="1" applyFill="1" applyBorder="1" applyAlignment="1">
      <alignment horizontal="center" vertical="center" wrapText="1"/>
    </xf>
    <xf numFmtId="173" fontId="24" fillId="0" borderId="10" xfId="15" applyNumberFormat="1" applyFont="1" applyFill="1" applyBorder="1" applyAlignment="1">
      <alignment horizontal="right" vertical="center" wrapText="1"/>
    </xf>
    <xf numFmtId="170" fontId="9" fillId="0" borderId="11" xfId="0" applyNumberFormat="1" applyFont="1" applyFill="1" applyBorder="1" applyAlignment="1">
      <alignment horizontal="center" vertical="center" wrapText="1"/>
    </xf>
    <xf numFmtId="170" fontId="24" fillId="0" borderId="11" xfId="0" applyNumberFormat="1" applyFont="1" applyFill="1" applyBorder="1" applyAlignment="1">
      <alignment horizontal="center" vertical="center" wrapText="1"/>
    </xf>
    <xf numFmtId="171" fontId="9" fillId="0" borderId="11" xfId="0" applyNumberFormat="1" applyFont="1" applyFill="1" applyBorder="1" applyAlignment="1">
      <alignment horizontal="center" vertical="center" wrapText="1"/>
    </xf>
    <xf numFmtId="170" fontId="9" fillId="5" borderId="11" xfId="0" applyNumberFormat="1" applyFont="1" applyFill="1" applyBorder="1" applyAlignment="1">
      <alignment horizontal="center" vertical="center" wrapText="1"/>
    </xf>
    <xf numFmtId="170" fontId="9" fillId="5" borderId="10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/>
    <xf numFmtId="169" fontId="4" fillId="6" borderId="2" xfId="0" applyNumberFormat="1" applyFont="1" applyFill="1" applyBorder="1"/>
    <xf numFmtId="0" fontId="20" fillId="0" borderId="2" xfId="0" applyFont="1" applyFill="1" applyBorder="1" applyAlignment="1">
      <alignment horizontal="center" vertical="center"/>
    </xf>
    <xf numFmtId="171" fontId="20" fillId="3" borderId="10" xfId="0" applyNumberFormat="1" applyFont="1" applyFill="1" applyBorder="1" applyAlignment="1">
      <alignment horizontal="center" vertical="center" wrapText="1"/>
    </xf>
    <xf numFmtId="2" fontId="20" fillId="3" borderId="2" xfId="0" applyNumberFormat="1" applyFont="1" applyFill="1" applyBorder="1" applyAlignment="1">
      <alignment horizontal="left" vertical="center" wrapText="1"/>
    </xf>
    <xf numFmtId="165" fontId="20" fillId="3" borderId="2" xfId="0" applyNumberFormat="1" applyFont="1" applyFill="1" applyBorder="1" applyAlignment="1">
      <alignment horizontal="center" vertical="center" wrapText="1"/>
    </xf>
    <xf numFmtId="0" fontId="20" fillId="3" borderId="2" xfId="0" quotePrefix="1" applyFont="1" applyFill="1" applyBorder="1" applyAlignment="1">
      <alignment horizontal="center" vertical="center" wrapText="1"/>
    </xf>
    <xf numFmtId="170" fontId="24" fillId="3" borderId="10" xfId="0" applyNumberFormat="1" applyFont="1" applyFill="1" applyBorder="1" applyAlignment="1">
      <alignment horizontal="center" vertical="center" wrapText="1"/>
    </xf>
    <xf numFmtId="170" fontId="24" fillId="3" borderId="2" xfId="0" applyNumberFormat="1" applyFont="1" applyFill="1" applyBorder="1" applyAlignment="1">
      <alignment horizontal="center" vertical="center" wrapText="1"/>
    </xf>
    <xf numFmtId="169" fontId="9" fillId="3" borderId="18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2" fontId="20" fillId="3" borderId="10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170" fontId="9" fillId="5" borderId="25" xfId="0" applyNumberFormat="1" applyFont="1" applyFill="1" applyBorder="1" applyAlignment="1">
      <alignment horizontal="center" vertical="center" wrapText="1"/>
    </xf>
    <xf numFmtId="169" fontId="9" fillId="0" borderId="23" xfId="0" applyNumberFormat="1" applyFont="1" applyFill="1" applyBorder="1" applyAlignment="1">
      <alignment horizontal="center" vertical="center" wrapText="1"/>
    </xf>
    <xf numFmtId="169" fontId="9" fillId="4" borderId="23" xfId="0" applyNumberFormat="1" applyFont="1" applyFill="1" applyBorder="1" applyAlignment="1">
      <alignment horizontal="center" vertical="center" wrapText="1"/>
    </xf>
    <xf numFmtId="169" fontId="24" fillId="4" borderId="23" xfId="0" applyNumberFormat="1" applyFont="1" applyFill="1" applyBorder="1" applyAlignment="1">
      <alignment horizontal="center" vertical="center" wrapText="1"/>
    </xf>
    <xf numFmtId="169" fontId="9" fillId="5" borderId="24" xfId="0" applyNumberFormat="1" applyFont="1" applyFill="1" applyBorder="1" applyAlignment="1">
      <alignment horizontal="center" vertical="center" wrapText="1"/>
    </xf>
    <xf numFmtId="173" fontId="9" fillId="0" borderId="29" xfId="0" applyNumberFormat="1" applyFont="1" applyFill="1" applyBorder="1" applyAlignment="1">
      <alignment horizontal="center" vertical="center"/>
    </xf>
    <xf numFmtId="169" fontId="9" fillId="0" borderId="12" xfId="0" applyNumberFormat="1" applyFont="1" applyFill="1" applyBorder="1" applyAlignment="1">
      <alignment horizontal="center" vertical="center"/>
    </xf>
    <xf numFmtId="169" fontId="9" fillId="0" borderId="13" xfId="0" applyNumberFormat="1" applyFont="1" applyFill="1" applyBorder="1" applyAlignment="1">
      <alignment horizontal="center" vertical="center"/>
    </xf>
    <xf numFmtId="169" fontId="9" fillId="0" borderId="14" xfId="0" applyNumberFormat="1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169" fontId="9" fillId="3" borderId="26" xfId="0" applyNumberFormat="1" applyFont="1" applyFill="1" applyBorder="1" applyAlignment="1">
      <alignment horizontal="center" vertical="center" wrapText="1"/>
    </xf>
    <xf numFmtId="169" fontId="9" fillId="0" borderId="26" xfId="0" applyNumberFormat="1" applyFont="1" applyFill="1" applyBorder="1" applyAlignment="1">
      <alignment horizontal="center" vertical="center" wrapText="1"/>
    </xf>
    <xf numFmtId="170" fontId="9" fillId="5" borderId="30" xfId="0" applyNumberFormat="1" applyFont="1" applyFill="1" applyBorder="1" applyAlignment="1">
      <alignment horizontal="center" vertical="center" wrapText="1"/>
    </xf>
    <xf numFmtId="169" fontId="9" fillId="0" borderId="31" xfId="0" applyNumberFormat="1" applyFont="1" applyFill="1" applyBorder="1" applyAlignment="1">
      <alignment horizontal="center" vertical="center" wrapText="1"/>
    </xf>
    <xf numFmtId="169" fontId="24" fillId="0" borderId="31" xfId="0" applyNumberFormat="1" applyFont="1" applyFill="1" applyBorder="1" applyAlignment="1">
      <alignment horizontal="center" vertical="center" wrapText="1"/>
    </xf>
    <xf numFmtId="170" fontId="9" fillId="0" borderId="31" xfId="0" applyNumberFormat="1" applyFont="1" applyFill="1" applyBorder="1" applyAlignment="1">
      <alignment horizontal="center" vertical="center" wrapText="1"/>
    </xf>
    <xf numFmtId="169" fontId="9" fillId="4" borderId="31" xfId="0" applyNumberFormat="1" applyFont="1" applyFill="1" applyBorder="1" applyAlignment="1">
      <alignment horizontal="center" vertical="center" wrapText="1"/>
    </xf>
    <xf numFmtId="169" fontId="24" fillId="4" borderId="31" xfId="0" applyNumberFormat="1" applyFont="1" applyFill="1" applyBorder="1" applyAlignment="1">
      <alignment horizontal="center" vertical="center" wrapText="1"/>
    </xf>
    <xf numFmtId="169" fontId="9" fillId="5" borderId="31" xfId="0" applyNumberFormat="1" applyFont="1" applyFill="1" applyBorder="1" applyAlignment="1">
      <alignment horizontal="center" vertical="center" wrapText="1"/>
    </xf>
    <xf numFmtId="169" fontId="24" fillId="0" borderId="31" xfId="15" applyNumberFormat="1" applyFont="1" applyFill="1" applyBorder="1" applyAlignment="1">
      <alignment horizontal="center" vertical="center" wrapText="1"/>
    </xf>
    <xf numFmtId="169" fontId="25" fillId="0" borderId="31" xfId="15" applyNumberFormat="1" applyFont="1" applyFill="1" applyBorder="1" applyAlignment="1">
      <alignment horizontal="center" vertical="center" wrapText="1"/>
    </xf>
    <xf numFmtId="169" fontId="24" fillId="4" borderId="31" xfId="15" applyNumberFormat="1" applyFont="1" applyFill="1" applyBorder="1" applyAlignment="1">
      <alignment horizontal="center" vertical="center" wrapText="1"/>
    </xf>
    <xf numFmtId="170" fontId="24" fillId="3" borderId="31" xfId="0" applyNumberFormat="1" applyFont="1" applyFill="1" applyBorder="1" applyAlignment="1">
      <alignment horizontal="center" vertical="center" wrapText="1"/>
    </xf>
    <xf numFmtId="170" fontId="24" fillId="0" borderId="31" xfId="0" applyNumberFormat="1" applyFont="1" applyFill="1" applyBorder="1" applyAlignment="1">
      <alignment horizontal="center" vertical="center" wrapText="1"/>
    </xf>
    <xf numFmtId="169" fontId="9" fillId="5" borderId="32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169" fontId="9" fillId="3" borderId="33" xfId="0" applyNumberFormat="1" applyFont="1" applyFill="1" applyBorder="1" applyAlignment="1">
      <alignment horizontal="center" vertical="center"/>
    </xf>
    <xf numFmtId="169" fontId="9" fillId="0" borderId="33" xfId="0" applyNumberFormat="1" applyFont="1" applyFill="1" applyBorder="1" applyAlignment="1">
      <alignment horizontal="center" vertical="center"/>
    </xf>
    <xf numFmtId="169" fontId="9" fillId="3" borderId="34" xfId="0" applyNumberFormat="1" applyFont="1" applyFill="1" applyBorder="1" applyAlignment="1">
      <alignment horizontal="center" vertical="center"/>
    </xf>
    <xf numFmtId="170" fontId="9" fillId="5" borderId="8" xfId="0" applyNumberFormat="1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172" fontId="24" fillId="0" borderId="10" xfId="15" applyNumberFormat="1" applyFont="1" applyFill="1" applyBorder="1" applyAlignment="1">
      <alignment horizontal="center" vertical="center" wrapText="1"/>
    </xf>
    <xf numFmtId="172" fontId="24" fillId="0" borderId="31" xfId="15" applyNumberFormat="1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right" vertical="center"/>
    </xf>
    <xf numFmtId="0" fontId="21" fillId="0" borderId="20" xfId="0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/>
    </xf>
    <xf numFmtId="0" fontId="20" fillId="2" borderId="22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 wrapText="1"/>
    </xf>
  </cellXfs>
  <cellStyles count="41">
    <cellStyle name="Comma0" xfId="1"/>
    <cellStyle name="Currency0" xfId="2"/>
    <cellStyle name="Date" xfId="3"/>
    <cellStyle name="Fixed" xfId="4"/>
    <cellStyle name="Heading 1" xfId="5"/>
    <cellStyle name="Heading 2" xfId="6"/>
    <cellStyle name="Total" xfId="7"/>
    <cellStyle name="Заголовок 1" xfId="25" builtinId="16" hidden="1"/>
    <cellStyle name="Заголовок 2" xfId="26" builtinId="17" hidden="1"/>
    <cellStyle name="Итог" xfId="27" builtinId="25" hidden="1"/>
    <cellStyle name="Обычный" xfId="0" builtinId="0"/>
    <cellStyle name="Обычный 2" xfId="8"/>
    <cellStyle name="Обычный 2 2" xfId="9"/>
    <cellStyle name="Обычный 2 2 2" xfId="10"/>
    <cellStyle name="Обычный 2 2 2 2" xfId="11"/>
    <cellStyle name="Обычный 2 2 2 2 2" xfId="31"/>
    <cellStyle name="Обычный 2 2 2 3" xfId="30"/>
    <cellStyle name="Обычный 2 2 3" xfId="12"/>
    <cellStyle name="Обычный 2 2 3 2" xfId="32"/>
    <cellStyle name="Обычный 2 2 4" xfId="13"/>
    <cellStyle name="Обычный 2 2 4 2" xfId="33"/>
    <cellStyle name="Обычный 2 2 5" xfId="29"/>
    <cellStyle name="Обычный 2 3" xfId="14"/>
    <cellStyle name="Обычный 2 3 2" xfId="15"/>
    <cellStyle name="Обычный 2 3 2 2" xfId="35"/>
    <cellStyle name="Обычный 2 3 3" xfId="34"/>
    <cellStyle name="Обычный 2 4" xfId="16"/>
    <cellStyle name="Обычный 2 4 2" xfId="36"/>
    <cellStyle name="Обычный 2 5" xfId="28"/>
    <cellStyle name="Обычный 3" xfId="17"/>
    <cellStyle name="Обычный 4" xfId="18"/>
    <cellStyle name="Обычный 5" xfId="40"/>
    <cellStyle name="Процент_11п" xfId="19"/>
    <cellStyle name="Тысячи [0]_12п" xfId="20"/>
    <cellStyle name="Тысячи_11п" xfId="21"/>
    <cellStyle name="Финансовый 2" xfId="22"/>
    <cellStyle name="Финансовый 2 2" xfId="37"/>
    <cellStyle name="Финансовый 3" xfId="23"/>
    <cellStyle name="Финансовый 3 2" xfId="24"/>
    <cellStyle name="Финансовый 3 2 2" xfId="39"/>
    <cellStyle name="Финансовый 3 3" xfId="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75"/>
  <sheetViews>
    <sheetView tabSelected="1" view="pageBreakPreview" topLeftCell="BS1" zoomScale="70" zoomScaleNormal="55" zoomScaleSheetLayoutView="70" zoomScalePageLayoutView="60" workbookViewId="0">
      <selection activeCell="CP53" sqref="CH8:CP53"/>
    </sheetView>
  </sheetViews>
  <sheetFormatPr defaultColWidth="31.7109375" defaultRowHeight="18.75" outlineLevelCol="1"/>
  <cols>
    <col min="1" max="1" width="8.85546875" style="4" customWidth="1"/>
    <col min="2" max="2" width="70.140625" style="4" customWidth="1"/>
    <col min="3" max="3" width="116.5703125" style="7" customWidth="1"/>
    <col min="4" max="4" width="30.140625" style="4" customWidth="1"/>
    <col min="5" max="5" width="28.42578125" style="4" customWidth="1"/>
    <col min="6" max="6" width="23.5703125" style="39" hidden="1" customWidth="1" outlineLevel="1"/>
    <col min="7" max="7" width="27" style="39" hidden="1" customWidth="1" outlineLevel="1"/>
    <col min="8" max="8" width="23" style="39" hidden="1" customWidth="1" outlineLevel="1"/>
    <col min="9" max="9" width="26.28515625" style="39" hidden="1" customWidth="1" outlineLevel="1"/>
    <col min="10" max="10" width="27.7109375" style="39" hidden="1" customWidth="1" outlineLevel="1"/>
    <col min="11" max="11" width="30.42578125" style="39" hidden="1" customWidth="1" outlineLevel="1"/>
    <col min="12" max="12" width="20.85546875" style="39" hidden="1" customWidth="1" outlineLevel="1"/>
    <col min="13" max="13" width="20.140625" style="39" hidden="1" customWidth="1" outlineLevel="1"/>
    <col min="14" max="14" width="26.28515625" style="39" hidden="1" customWidth="1" outlineLevel="1"/>
    <col min="15" max="15" width="23" style="39" hidden="1" customWidth="1" outlineLevel="1"/>
    <col min="16" max="16" width="26.28515625" style="39" hidden="1" customWidth="1" outlineLevel="1"/>
    <col min="17" max="17" width="26.140625" style="39" hidden="1" customWidth="1" outlineLevel="1"/>
    <col min="18" max="18" width="27.85546875" style="39" hidden="1" customWidth="1" outlineLevel="1"/>
    <col min="19" max="19" width="22" style="39" hidden="1" customWidth="1" outlineLevel="1"/>
    <col min="20" max="20" width="19.140625" style="39" hidden="1" customWidth="1" outlineLevel="1"/>
    <col min="21" max="23" width="26.28515625" style="39" hidden="1" customWidth="1" outlineLevel="1"/>
    <col min="24" max="24" width="28.7109375" style="39" hidden="1" customWidth="1" outlineLevel="1"/>
    <col min="25" max="25" width="28.5703125" style="39" hidden="1" customWidth="1" outlineLevel="1"/>
    <col min="26" max="26" width="23" style="39" hidden="1" customWidth="1" outlineLevel="1"/>
    <col min="27" max="27" width="17.85546875" style="39" hidden="1" customWidth="1" outlineLevel="1"/>
    <col min="28" max="28" width="26.28515625" style="39" hidden="1" customWidth="1" outlineLevel="1"/>
    <col min="29" max="29" width="25.140625" style="39" hidden="1" customWidth="1" outlineLevel="1"/>
    <col min="30" max="30" width="26.28515625" style="39" hidden="1" customWidth="1" outlineLevel="1"/>
    <col min="31" max="31" width="26.140625" style="39" hidden="1" customWidth="1" outlineLevel="1"/>
    <col min="32" max="32" width="28.28515625" style="39" hidden="1" customWidth="1" outlineLevel="1"/>
    <col min="33" max="33" width="19.140625" style="39" hidden="1" customWidth="1" outlineLevel="1"/>
    <col min="34" max="34" width="21" style="39" hidden="1" customWidth="1" outlineLevel="1"/>
    <col min="35" max="35" width="26.28515625" style="39" hidden="1" customWidth="1" outlineLevel="1"/>
    <col min="36" max="36" width="26.42578125" style="39" hidden="1" customWidth="1" outlineLevel="1"/>
    <col min="37" max="37" width="24.42578125" style="39" hidden="1" customWidth="1" outlineLevel="1"/>
    <col min="38" max="38" width="26.140625" style="39" hidden="1" customWidth="1" outlineLevel="1"/>
    <col min="39" max="39" width="22.140625" style="39" hidden="1" customWidth="1" outlineLevel="1"/>
    <col min="40" max="40" width="16" style="39" hidden="1" customWidth="1" outlineLevel="1"/>
    <col min="41" max="41" width="18.85546875" style="39" hidden="1" customWidth="1" outlineLevel="1"/>
    <col min="42" max="42" width="23.7109375" style="39" hidden="1" customWidth="1" outlineLevel="1"/>
    <col min="43" max="43" width="26.5703125" style="39" hidden="1" customWidth="1" outlineLevel="1"/>
    <col min="44" max="44" width="11.5703125" style="39" hidden="1" customWidth="1" outlineLevel="1"/>
    <col min="45" max="45" width="58.42578125" style="39" hidden="1" customWidth="1" outlineLevel="1"/>
    <col min="46" max="46" width="13.85546875" style="39" hidden="1" customWidth="1" outlineLevel="1"/>
    <col min="47" max="47" width="0.28515625" style="39" hidden="1" customWidth="1" outlineLevel="1"/>
    <col min="48" max="48" width="19.140625" style="39" hidden="1" customWidth="1" outlineLevel="1"/>
    <col min="49" max="49" width="34.7109375" style="39" hidden="1" customWidth="1" outlineLevel="1"/>
    <col min="50" max="50" width="23.42578125" style="4" hidden="1" customWidth="1" outlineLevel="1"/>
    <col min="51" max="51" width="37.28515625" style="4" hidden="1" customWidth="1" outlineLevel="1"/>
    <col min="52" max="52" width="23.7109375" style="4" hidden="1" customWidth="1" outlineLevel="1"/>
    <col min="53" max="53" width="13.7109375" style="4" hidden="1" customWidth="1" outlineLevel="1"/>
    <col min="54" max="54" width="13.85546875" style="4" hidden="1" customWidth="1" outlineLevel="1"/>
    <col min="55" max="55" width="18.7109375" style="4" hidden="1" customWidth="1" outlineLevel="1"/>
    <col min="56" max="56" width="24.85546875" style="4" hidden="1" customWidth="1" outlineLevel="1"/>
    <col min="57" max="57" width="26.28515625" style="1" hidden="1" customWidth="1" outlineLevel="1"/>
    <col min="58" max="58" width="37.28515625" style="4" hidden="1" customWidth="1" outlineLevel="1"/>
    <col min="59" max="59" width="25.5703125" style="4" hidden="1" customWidth="1" outlineLevel="1"/>
    <col min="60" max="60" width="22.42578125" style="4" hidden="1" customWidth="1" outlineLevel="1"/>
    <col min="61" max="61" width="9.42578125" style="4" hidden="1" customWidth="1" outlineLevel="1"/>
    <col min="62" max="62" width="19.5703125" style="4" hidden="1" customWidth="1" outlineLevel="1"/>
    <col min="63" max="63" width="26.7109375" style="4" hidden="1" customWidth="1" outlineLevel="1"/>
    <col min="64" max="64" width="26" style="4" customWidth="1" collapsed="1"/>
    <col min="65" max="65" width="36.28515625" style="4" hidden="1" customWidth="1"/>
    <col min="66" max="66" width="25.5703125" style="4" customWidth="1"/>
    <col min="67" max="67" width="109.7109375" style="4" hidden="1" customWidth="1"/>
    <col min="68" max="68" width="22.5703125" style="4" customWidth="1"/>
    <col min="69" max="69" width="19" style="4" customWidth="1"/>
    <col min="70" max="70" width="26.42578125" style="4" customWidth="1"/>
    <col min="71" max="71" width="25.28515625" style="4" customWidth="1"/>
    <col min="72" max="72" width="36.28515625" style="4" hidden="1" customWidth="1"/>
    <col min="73" max="73" width="58.42578125" style="4" hidden="1" customWidth="1"/>
    <col min="74" max="74" width="41.5703125" style="4" hidden="1" customWidth="1"/>
    <col min="75" max="75" width="26.7109375" style="4" customWidth="1"/>
    <col min="76" max="76" width="22" style="4" customWidth="1"/>
    <col min="77" max="77" width="19" style="4" customWidth="1"/>
    <col min="78" max="78" width="26" style="4" customWidth="1"/>
    <col min="79" max="79" width="27" style="4" customWidth="1"/>
    <col min="80" max="80" width="36.28515625" style="4" hidden="1" customWidth="1"/>
    <col min="81" max="81" width="58.42578125" style="4" hidden="1" customWidth="1"/>
    <col min="82" max="82" width="68.42578125" style="4" hidden="1" customWidth="1"/>
    <col min="83" max="83" width="26.7109375" style="4" customWidth="1"/>
    <col min="84" max="84" width="23.42578125" style="4" customWidth="1"/>
    <col min="85" max="85" width="19" style="4" customWidth="1"/>
    <col min="86" max="87" width="26" style="4" customWidth="1"/>
    <col min="88" max="88" width="36.28515625" style="4" hidden="1" customWidth="1"/>
    <col min="89" max="89" width="58.42578125" style="4" hidden="1" customWidth="1"/>
    <col min="90" max="90" width="41.5703125" style="4" hidden="1" customWidth="1"/>
    <col min="91" max="92" width="26.42578125" style="4" customWidth="1"/>
    <col min="93" max="93" width="19" style="4" customWidth="1"/>
    <col min="94" max="94" width="26" style="4" customWidth="1"/>
    <col min="95" max="16384" width="31.7109375" style="4"/>
  </cols>
  <sheetData>
    <row r="1" spans="1:94" s="1" customFormat="1" ht="27" customHeight="1">
      <c r="A1" s="3"/>
      <c r="B1" s="3"/>
      <c r="C1" s="6"/>
      <c r="D1" s="3"/>
      <c r="E1" s="3"/>
      <c r="F1" s="31"/>
      <c r="G1" s="32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"/>
      <c r="AY1" s="3"/>
      <c r="CA1" s="233"/>
      <c r="CB1" s="233"/>
      <c r="CC1" s="233"/>
      <c r="CD1" s="233"/>
      <c r="CE1" s="233"/>
      <c r="CF1" s="233"/>
      <c r="CG1" s="233"/>
      <c r="CH1" s="233"/>
      <c r="CI1" s="233" t="s">
        <v>157</v>
      </c>
      <c r="CJ1" s="233"/>
      <c r="CK1" s="233"/>
      <c r="CL1" s="233"/>
      <c r="CM1" s="233"/>
      <c r="CN1" s="233"/>
      <c r="CO1" s="233"/>
      <c r="CP1" s="233"/>
    </row>
    <row r="2" spans="1:94" s="1" customFormat="1" ht="27" customHeight="1">
      <c r="A2" s="3"/>
      <c r="B2" s="3"/>
      <c r="C2" s="6"/>
      <c r="D2" s="3"/>
      <c r="E2" s="3"/>
      <c r="F2" s="31"/>
      <c r="G2" s="32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"/>
      <c r="AY2" s="3"/>
      <c r="CA2" s="233"/>
      <c r="CB2" s="233"/>
      <c r="CC2" s="233"/>
      <c r="CD2" s="233"/>
      <c r="CE2" s="233"/>
      <c r="CF2" s="233"/>
      <c r="CG2" s="233"/>
      <c r="CH2" s="233"/>
      <c r="CI2" s="233" t="s">
        <v>97</v>
      </c>
      <c r="CJ2" s="233"/>
      <c r="CK2" s="233"/>
      <c r="CL2" s="233"/>
      <c r="CM2" s="233"/>
      <c r="CN2" s="233"/>
      <c r="CO2" s="233"/>
      <c r="CP2" s="233"/>
    </row>
    <row r="3" spans="1:94" s="1" customFormat="1" ht="58.5" customHeight="1">
      <c r="A3" s="3"/>
      <c r="B3" s="3"/>
      <c r="C3" s="6"/>
      <c r="D3" s="3"/>
      <c r="E3" s="3"/>
      <c r="F3" s="31"/>
      <c r="G3" s="32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"/>
      <c r="AY3" s="3"/>
      <c r="BD3" s="45"/>
      <c r="CA3" s="233"/>
      <c r="CB3" s="233"/>
      <c r="CC3" s="233"/>
      <c r="CD3" s="233"/>
      <c r="CE3" s="233"/>
      <c r="CF3" s="233"/>
      <c r="CG3" s="233"/>
      <c r="CH3" s="233"/>
      <c r="CI3" s="233" t="s">
        <v>123</v>
      </c>
      <c r="CJ3" s="233"/>
      <c r="CK3" s="233"/>
      <c r="CL3" s="233"/>
      <c r="CM3" s="233"/>
      <c r="CN3" s="233"/>
      <c r="CO3" s="233"/>
      <c r="CP3" s="233"/>
    </row>
    <row r="4" spans="1:94" s="1" customFormat="1" ht="36.75" customHeight="1">
      <c r="A4" s="239" t="s">
        <v>70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39"/>
      <c r="BP4" s="239"/>
      <c r="BQ4" s="239"/>
      <c r="BR4" s="239"/>
      <c r="BS4" s="239"/>
      <c r="BT4" s="239"/>
      <c r="BU4" s="239"/>
      <c r="BV4" s="239"/>
      <c r="BW4" s="239"/>
      <c r="BX4" s="239"/>
      <c r="BY4" s="239"/>
      <c r="BZ4" s="239"/>
      <c r="CA4" s="239"/>
      <c r="CB4" s="239"/>
      <c r="CC4" s="239"/>
      <c r="CD4" s="239"/>
      <c r="CE4" s="239"/>
      <c r="CF4" s="239"/>
      <c r="CG4" s="239"/>
      <c r="CH4" s="239"/>
    </row>
    <row r="5" spans="1:94" s="2" customFormat="1" ht="19.5" thickBot="1">
      <c r="A5" s="1"/>
      <c r="B5" s="15"/>
      <c r="C5" s="16"/>
      <c r="D5" s="15"/>
      <c r="E5" s="15"/>
      <c r="F5" s="33"/>
      <c r="G5" s="33"/>
      <c r="H5" s="34"/>
      <c r="I5" s="34"/>
      <c r="J5" s="34"/>
      <c r="K5" s="34"/>
      <c r="L5" s="34"/>
      <c r="M5" s="34"/>
      <c r="N5" s="34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</row>
    <row r="6" spans="1:94" ht="34.5" customHeight="1">
      <c r="A6" s="232" t="s">
        <v>1</v>
      </c>
      <c r="B6" s="231" t="s">
        <v>6</v>
      </c>
      <c r="C6" s="231" t="s">
        <v>83</v>
      </c>
      <c r="D6" s="231" t="s">
        <v>7</v>
      </c>
      <c r="E6" s="231" t="s">
        <v>158</v>
      </c>
      <c r="F6" s="218" t="s">
        <v>159</v>
      </c>
      <c r="G6" s="218" t="s">
        <v>160</v>
      </c>
      <c r="H6" s="220">
        <v>2017</v>
      </c>
      <c r="I6" s="220"/>
      <c r="J6" s="220"/>
      <c r="K6" s="220"/>
      <c r="L6" s="220"/>
      <c r="M6" s="220"/>
      <c r="N6" s="220"/>
      <c r="O6" s="220">
        <v>2018</v>
      </c>
      <c r="P6" s="220"/>
      <c r="Q6" s="220"/>
      <c r="R6" s="220"/>
      <c r="S6" s="220"/>
      <c r="T6" s="220"/>
      <c r="U6" s="220"/>
      <c r="V6" s="220">
        <v>2019</v>
      </c>
      <c r="W6" s="220"/>
      <c r="X6" s="220"/>
      <c r="Y6" s="220"/>
      <c r="Z6" s="220"/>
      <c r="AA6" s="220"/>
      <c r="AB6" s="220"/>
      <c r="AC6" s="220">
        <v>2020</v>
      </c>
      <c r="AD6" s="220"/>
      <c r="AE6" s="220"/>
      <c r="AF6" s="220"/>
      <c r="AG6" s="220"/>
      <c r="AH6" s="220"/>
      <c r="AI6" s="220"/>
      <c r="AJ6" s="220">
        <v>2021</v>
      </c>
      <c r="AK6" s="220"/>
      <c r="AL6" s="220"/>
      <c r="AM6" s="220"/>
      <c r="AN6" s="220"/>
      <c r="AO6" s="220"/>
      <c r="AP6" s="220"/>
      <c r="AQ6" s="220">
        <v>2022</v>
      </c>
      <c r="AR6" s="220"/>
      <c r="AS6" s="220"/>
      <c r="AT6" s="220"/>
      <c r="AU6" s="220"/>
      <c r="AV6" s="220"/>
      <c r="AW6" s="220"/>
      <c r="AX6" s="220">
        <v>2023</v>
      </c>
      <c r="AY6" s="220"/>
      <c r="AZ6" s="220"/>
      <c r="BA6" s="220"/>
      <c r="BB6" s="220"/>
      <c r="BC6" s="220"/>
      <c r="BD6" s="241"/>
      <c r="BE6" s="240">
        <v>2024</v>
      </c>
      <c r="BF6" s="220"/>
      <c r="BG6" s="220"/>
      <c r="BH6" s="220"/>
      <c r="BI6" s="220"/>
      <c r="BJ6" s="220"/>
      <c r="BK6" s="241"/>
      <c r="BL6" s="223">
        <v>2025</v>
      </c>
      <c r="BM6" s="224"/>
      <c r="BN6" s="224"/>
      <c r="BO6" s="224"/>
      <c r="BP6" s="224"/>
      <c r="BQ6" s="224"/>
      <c r="BR6" s="225"/>
      <c r="BS6" s="236">
        <v>2026</v>
      </c>
      <c r="BT6" s="224"/>
      <c r="BU6" s="224"/>
      <c r="BV6" s="224"/>
      <c r="BW6" s="224"/>
      <c r="BX6" s="224"/>
      <c r="BY6" s="224"/>
      <c r="BZ6" s="237"/>
      <c r="CA6" s="223">
        <v>2027</v>
      </c>
      <c r="CB6" s="224"/>
      <c r="CC6" s="224"/>
      <c r="CD6" s="224"/>
      <c r="CE6" s="224"/>
      <c r="CF6" s="224"/>
      <c r="CG6" s="224"/>
      <c r="CH6" s="237"/>
      <c r="CI6" s="223">
        <v>2028</v>
      </c>
      <c r="CJ6" s="224"/>
      <c r="CK6" s="224"/>
      <c r="CL6" s="224"/>
      <c r="CM6" s="224"/>
      <c r="CN6" s="224"/>
      <c r="CO6" s="224"/>
      <c r="CP6" s="225"/>
    </row>
    <row r="7" spans="1:94" ht="26.25" customHeight="1">
      <c r="A7" s="217"/>
      <c r="B7" s="211"/>
      <c r="C7" s="210"/>
      <c r="D7" s="210"/>
      <c r="E7" s="210"/>
      <c r="F7" s="219"/>
      <c r="G7" s="219"/>
      <c r="H7" s="219" t="s">
        <v>9</v>
      </c>
      <c r="I7" s="219"/>
      <c r="J7" s="219"/>
      <c r="K7" s="219"/>
      <c r="L7" s="221"/>
      <c r="M7" s="221"/>
      <c r="N7" s="221"/>
      <c r="O7" s="219" t="s">
        <v>9</v>
      </c>
      <c r="P7" s="219"/>
      <c r="Q7" s="219"/>
      <c r="R7" s="219"/>
      <c r="S7" s="221"/>
      <c r="T7" s="221"/>
      <c r="U7" s="221"/>
      <c r="V7" s="219" t="s">
        <v>9</v>
      </c>
      <c r="W7" s="219"/>
      <c r="X7" s="219"/>
      <c r="Y7" s="219"/>
      <c r="Z7" s="219"/>
      <c r="AA7" s="219"/>
      <c r="AB7" s="219"/>
      <c r="AC7" s="219" t="s">
        <v>9</v>
      </c>
      <c r="AD7" s="219"/>
      <c r="AE7" s="219"/>
      <c r="AF7" s="219"/>
      <c r="AG7" s="221"/>
      <c r="AH7" s="221"/>
      <c r="AI7" s="221"/>
      <c r="AJ7" s="219" t="s">
        <v>9</v>
      </c>
      <c r="AK7" s="219"/>
      <c r="AL7" s="219"/>
      <c r="AM7" s="219"/>
      <c r="AN7" s="221"/>
      <c r="AO7" s="221"/>
      <c r="AP7" s="221"/>
      <c r="AQ7" s="219" t="s">
        <v>9</v>
      </c>
      <c r="AR7" s="219"/>
      <c r="AS7" s="219"/>
      <c r="AT7" s="219"/>
      <c r="AU7" s="221"/>
      <c r="AV7" s="221"/>
      <c r="AW7" s="221"/>
      <c r="AX7" s="219" t="s">
        <v>9</v>
      </c>
      <c r="AY7" s="219"/>
      <c r="AZ7" s="219"/>
      <c r="BA7" s="219"/>
      <c r="BB7" s="221"/>
      <c r="BC7" s="221"/>
      <c r="BD7" s="222"/>
      <c r="BE7" s="242" t="s">
        <v>9</v>
      </c>
      <c r="BF7" s="219"/>
      <c r="BG7" s="219"/>
      <c r="BH7" s="219"/>
      <c r="BI7" s="221"/>
      <c r="BJ7" s="221"/>
      <c r="BK7" s="222"/>
      <c r="BL7" s="234" t="s">
        <v>9</v>
      </c>
      <c r="BM7" s="210"/>
      <c r="BN7" s="210"/>
      <c r="BO7" s="210"/>
      <c r="BP7" s="211"/>
      <c r="BQ7" s="211"/>
      <c r="BR7" s="227"/>
      <c r="BS7" s="238" t="s">
        <v>9</v>
      </c>
      <c r="BT7" s="210"/>
      <c r="BU7" s="210"/>
      <c r="BV7" s="210"/>
      <c r="BW7" s="211"/>
      <c r="BX7" s="211"/>
      <c r="BY7" s="211"/>
      <c r="BZ7" s="213"/>
      <c r="CA7" s="234" t="s">
        <v>9</v>
      </c>
      <c r="CB7" s="210"/>
      <c r="CC7" s="210"/>
      <c r="CD7" s="210"/>
      <c r="CE7" s="211"/>
      <c r="CF7" s="211"/>
      <c r="CG7" s="211"/>
      <c r="CH7" s="213"/>
      <c r="CI7" s="234" t="s">
        <v>9</v>
      </c>
      <c r="CJ7" s="210"/>
      <c r="CK7" s="210"/>
      <c r="CL7" s="210"/>
      <c r="CM7" s="211"/>
      <c r="CN7" s="211"/>
      <c r="CO7" s="211"/>
      <c r="CP7" s="227"/>
    </row>
    <row r="8" spans="1:94" ht="37.5" customHeight="1">
      <c r="A8" s="217"/>
      <c r="B8" s="211"/>
      <c r="C8" s="210"/>
      <c r="D8" s="210"/>
      <c r="E8" s="210"/>
      <c r="F8" s="219"/>
      <c r="G8" s="219"/>
      <c r="H8" s="221" t="s">
        <v>0</v>
      </c>
      <c r="I8" s="219" t="s">
        <v>10</v>
      </c>
      <c r="J8" s="219"/>
      <c r="K8" s="219"/>
      <c r="L8" s="221" t="s">
        <v>8</v>
      </c>
      <c r="M8" s="219" t="s">
        <v>21</v>
      </c>
      <c r="N8" s="219" t="s">
        <v>75</v>
      </c>
      <c r="O8" s="221" t="s">
        <v>0</v>
      </c>
      <c r="P8" s="219" t="s">
        <v>10</v>
      </c>
      <c r="Q8" s="219"/>
      <c r="R8" s="219"/>
      <c r="S8" s="221" t="s">
        <v>8</v>
      </c>
      <c r="T8" s="219" t="s">
        <v>21</v>
      </c>
      <c r="U8" s="219" t="s">
        <v>74</v>
      </c>
      <c r="V8" s="221" t="s">
        <v>0</v>
      </c>
      <c r="W8" s="219" t="s">
        <v>10</v>
      </c>
      <c r="X8" s="219"/>
      <c r="Y8" s="219"/>
      <c r="Z8" s="221" t="s">
        <v>8</v>
      </c>
      <c r="AA8" s="219" t="s">
        <v>21</v>
      </c>
      <c r="AB8" s="219" t="s">
        <v>76</v>
      </c>
      <c r="AC8" s="221" t="s">
        <v>0</v>
      </c>
      <c r="AD8" s="219" t="s">
        <v>10</v>
      </c>
      <c r="AE8" s="219"/>
      <c r="AF8" s="219"/>
      <c r="AG8" s="221" t="s">
        <v>8</v>
      </c>
      <c r="AH8" s="219" t="s">
        <v>21</v>
      </c>
      <c r="AI8" s="219" t="s">
        <v>77</v>
      </c>
      <c r="AJ8" s="221" t="s">
        <v>0</v>
      </c>
      <c r="AK8" s="219" t="s">
        <v>10</v>
      </c>
      <c r="AL8" s="219"/>
      <c r="AM8" s="219"/>
      <c r="AN8" s="221" t="s">
        <v>8</v>
      </c>
      <c r="AO8" s="219" t="s">
        <v>21</v>
      </c>
      <c r="AP8" s="219" t="s">
        <v>61</v>
      </c>
      <c r="AQ8" s="221" t="s">
        <v>0</v>
      </c>
      <c r="AR8" s="36"/>
      <c r="AS8" s="219" t="s">
        <v>50</v>
      </c>
      <c r="AT8" s="36"/>
      <c r="AU8" s="221" t="s">
        <v>8</v>
      </c>
      <c r="AV8" s="219" t="s">
        <v>21</v>
      </c>
      <c r="AW8" s="219" t="s">
        <v>78</v>
      </c>
      <c r="AX8" s="221" t="s">
        <v>0</v>
      </c>
      <c r="AY8" s="36" t="s">
        <v>10</v>
      </c>
      <c r="AZ8" s="219" t="s">
        <v>111</v>
      </c>
      <c r="BA8" s="36"/>
      <c r="BB8" s="221" t="s">
        <v>8</v>
      </c>
      <c r="BC8" s="219" t="s">
        <v>136</v>
      </c>
      <c r="BD8" s="228" t="s">
        <v>79</v>
      </c>
      <c r="BE8" s="235" t="s">
        <v>0</v>
      </c>
      <c r="BF8" s="36" t="s">
        <v>10</v>
      </c>
      <c r="BG8" s="219" t="s">
        <v>111</v>
      </c>
      <c r="BH8" s="36"/>
      <c r="BI8" s="221" t="s">
        <v>8</v>
      </c>
      <c r="BJ8" s="219" t="s">
        <v>136</v>
      </c>
      <c r="BK8" s="228" t="s">
        <v>94</v>
      </c>
      <c r="BL8" s="217" t="s">
        <v>0</v>
      </c>
      <c r="BM8" s="20" t="s">
        <v>10</v>
      </c>
      <c r="BN8" s="210" t="s">
        <v>111</v>
      </c>
      <c r="BO8" s="20"/>
      <c r="BP8" s="211" t="s">
        <v>8</v>
      </c>
      <c r="BQ8" s="210" t="s">
        <v>136</v>
      </c>
      <c r="BR8" s="226" t="s">
        <v>128</v>
      </c>
      <c r="BS8" s="209" t="s">
        <v>0</v>
      </c>
      <c r="BT8" s="20" t="s">
        <v>10</v>
      </c>
      <c r="BU8" s="210" t="s">
        <v>50</v>
      </c>
      <c r="BV8" s="20"/>
      <c r="BW8" s="210" t="s">
        <v>111</v>
      </c>
      <c r="BX8" s="214" t="s">
        <v>8</v>
      </c>
      <c r="BY8" s="210" t="s">
        <v>136</v>
      </c>
      <c r="BZ8" s="212" t="s">
        <v>129</v>
      </c>
      <c r="CA8" s="217" t="s">
        <v>0</v>
      </c>
      <c r="CB8" s="20" t="s">
        <v>10</v>
      </c>
      <c r="CC8" s="210" t="s">
        <v>50</v>
      </c>
      <c r="CD8" s="20"/>
      <c r="CE8" s="210" t="s">
        <v>111</v>
      </c>
      <c r="CF8" s="210" t="s">
        <v>8</v>
      </c>
      <c r="CG8" s="210" t="s">
        <v>136</v>
      </c>
      <c r="CH8" s="212" t="s">
        <v>140</v>
      </c>
      <c r="CI8" s="217" t="s">
        <v>0</v>
      </c>
      <c r="CJ8" s="20" t="s">
        <v>10</v>
      </c>
      <c r="CK8" s="210" t="s">
        <v>50</v>
      </c>
      <c r="CL8" s="20"/>
      <c r="CM8" s="210" t="s">
        <v>111</v>
      </c>
      <c r="CN8" s="210" t="s">
        <v>8</v>
      </c>
      <c r="CO8" s="210" t="s">
        <v>136</v>
      </c>
      <c r="CP8" s="226" t="s">
        <v>161</v>
      </c>
    </row>
    <row r="9" spans="1:94" ht="66.75" customHeight="1">
      <c r="A9" s="217"/>
      <c r="B9" s="211"/>
      <c r="C9" s="210"/>
      <c r="D9" s="211" t="s">
        <v>2</v>
      </c>
      <c r="E9" s="210"/>
      <c r="F9" s="219"/>
      <c r="G9" s="219"/>
      <c r="H9" s="221"/>
      <c r="I9" s="48" t="s">
        <v>49</v>
      </c>
      <c r="J9" s="48" t="s">
        <v>50</v>
      </c>
      <c r="K9" s="48" t="s">
        <v>51</v>
      </c>
      <c r="L9" s="221"/>
      <c r="M9" s="221"/>
      <c r="N9" s="221"/>
      <c r="O9" s="221"/>
      <c r="P9" s="48" t="s">
        <v>49</v>
      </c>
      <c r="Q9" s="48" t="s">
        <v>50</v>
      </c>
      <c r="R9" s="48" t="s">
        <v>51</v>
      </c>
      <c r="S9" s="221"/>
      <c r="T9" s="221"/>
      <c r="U9" s="221"/>
      <c r="V9" s="221"/>
      <c r="W9" s="48" t="s">
        <v>49</v>
      </c>
      <c r="X9" s="48" t="s">
        <v>50</v>
      </c>
      <c r="Y9" s="48" t="s">
        <v>51</v>
      </c>
      <c r="Z9" s="221"/>
      <c r="AA9" s="219"/>
      <c r="AB9" s="219"/>
      <c r="AC9" s="221"/>
      <c r="AD9" s="48" t="s">
        <v>49</v>
      </c>
      <c r="AE9" s="48" t="s">
        <v>50</v>
      </c>
      <c r="AF9" s="48" t="s">
        <v>51</v>
      </c>
      <c r="AG9" s="221"/>
      <c r="AH9" s="221"/>
      <c r="AI9" s="221"/>
      <c r="AJ9" s="221"/>
      <c r="AK9" s="48" t="s">
        <v>49</v>
      </c>
      <c r="AL9" s="219" t="s">
        <v>50</v>
      </c>
      <c r="AM9" s="219" t="s">
        <v>51</v>
      </c>
      <c r="AN9" s="221"/>
      <c r="AO9" s="221"/>
      <c r="AP9" s="221"/>
      <c r="AQ9" s="221"/>
      <c r="AR9" s="48" t="s">
        <v>49</v>
      </c>
      <c r="AS9" s="219"/>
      <c r="AT9" s="48" t="s">
        <v>51</v>
      </c>
      <c r="AU9" s="221"/>
      <c r="AV9" s="221"/>
      <c r="AW9" s="221"/>
      <c r="AX9" s="221"/>
      <c r="AY9" s="110" t="s">
        <v>49</v>
      </c>
      <c r="AZ9" s="219"/>
      <c r="BA9" s="110" t="s">
        <v>51</v>
      </c>
      <c r="BB9" s="221"/>
      <c r="BC9" s="221"/>
      <c r="BD9" s="222"/>
      <c r="BE9" s="235"/>
      <c r="BF9" s="166" t="s">
        <v>49</v>
      </c>
      <c r="BG9" s="219"/>
      <c r="BH9" s="166" t="s">
        <v>51</v>
      </c>
      <c r="BI9" s="221"/>
      <c r="BJ9" s="221"/>
      <c r="BK9" s="222"/>
      <c r="BL9" s="217"/>
      <c r="BM9" s="177" t="s">
        <v>49</v>
      </c>
      <c r="BN9" s="210"/>
      <c r="BO9" s="177" t="s">
        <v>51</v>
      </c>
      <c r="BP9" s="211"/>
      <c r="BQ9" s="211"/>
      <c r="BR9" s="227"/>
      <c r="BS9" s="209"/>
      <c r="BT9" s="47" t="s">
        <v>49</v>
      </c>
      <c r="BU9" s="210"/>
      <c r="BV9" s="47" t="s">
        <v>51</v>
      </c>
      <c r="BW9" s="210"/>
      <c r="BX9" s="215"/>
      <c r="BY9" s="211"/>
      <c r="BZ9" s="213"/>
      <c r="CA9" s="217"/>
      <c r="CB9" s="177" t="s">
        <v>49</v>
      </c>
      <c r="CC9" s="210"/>
      <c r="CD9" s="177" t="s">
        <v>51</v>
      </c>
      <c r="CE9" s="210"/>
      <c r="CF9" s="210"/>
      <c r="CG9" s="211"/>
      <c r="CH9" s="213"/>
      <c r="CI9" s="217"/>
      <c r="CJ9" s="177" t="s">
        <v>49</v>
      </c>
      <c r="CK9" s="210"/>
      <c r="CL9" s="177" t="s">
        <v>51</v>
      </c>
      <c r="CM9" s="210"/>
      <c r="CN9" s="210"/>
      <c r="CO9" s="211"/>
      <c r="CP9" s="227"/>
    </row>
    <row r="10" spans="1:94" ht="29.25" customHeight="1">
      <c r="A10" s="217"/>
      <c r="B10" s="211"/>
      <c r="C10" s="210"/>
      <c r="D10" s="211"/>
      <c r="E10" s="47" t="s">
        <v>166</v>
      </c>
      <c r="F10" s="48"/>
      <c r="G10" s="48"/>
      <c r="H10" s="221"/>
      <c r="I10" s="49"/>
      <c r="J10" s="49"/>
      <c r="K10" s="36"/>
      <c r="L10" s="221"/>
      <c r="M10" s="221"/>
      <c r="N10" s="49" t="s">
        <v>69</v>
      </c>
      <c r="O10" s="221"/>
      <c r="P10" s="49"/>
      <c r="Q10" s="49"/>
      <c r="R10" s="36"/>
      <c r="S10" s="221"/>
      <c r="T10" s="221"/>
      <c r="U10" s="49" t="s">
        <v>69</v>
      </c>
      <c r="V10" s="221"/>
      <c r="W10" s="49"/>
      <c r="X10" s="49"/>
      <c r="Y10" s="36"/>
      <c r="Z10" s="221"/>
      <c r="AA10" s="219"/>
      <c r="AB10" s="49" t="s">
        <v>68</v>
      </c>
      <c r="AC10" s="221"/>
      <c r="AD10" s="49"/>
      <c r="AE10" s="49"/>
      <c r="AF10" s="36"/>
      <c r="AG10" s="221"/>
      <c r="AH10" s="221"/>
      <c r="AI10" s="49" t="s">
        <v>68</v>
      </c>
      <c r="AJ10" s="221"/>
      <c r="AK10" s="49" t="s">
        <v>110</v>
      </c>
      <c r="AL10" s="219"/>
      <c r="AM10" s="219"/>
      <c r="AN10" s="221"/>
      <c r="AO10" s="221"/>
      <c r="AP10" s="49" t="s">
        <v>104</v>
      </c>
      <c r="AQ10" s="221"/>
      <c r="AR10" s="49"/>
      <c r="AS10" s="219"/>
      <c r="AT10" s="36"/>
      <c r="AU10" s="221"/>
      <c r="AV10" s="221"/>
      <c r="AW10" s="49" t="s">
        <v>117</v>
      </c>
      <c r="AX10" s="221"/>
      <c r="AY10" s="111"/>
      <c r="AZ10" s="219"/>
      <c r="BA10" s="36"/>
      <c r="BB10" s="221"/>
      <c r="BC10" s="221"/>
      <c r="BD10" s="120" t="s">
        <v>117</v>
      </c>
      <c r="BE10" s="235"/>
      <c r="BF10" s="165"/>
      <c r="BG10" s="219"/>
      <c r="BH10" s="36"/>
      <c r="BI10" s="221"/>
      <c r="BJ10" s="221"/>
      <c r="BK10" s="181" t="s">
        <v>117</v>
      </c>
      <c r="BL10" s="217"/>
      <c r="BM10" s="178"/>
      <c r="BN10" s="210"/>
      <c r="BO10" s="20"/>
      <c r="BP10" s="211"/>
      <c r="BQ10" s="211"/>
      <c r="BR10" s="179" t="s">
        <v>165</v>
      </c>
      <c r="BS10" s="209"/>
      <c r="BT10" s="46"/>
      <c r="BU10" s="210"/>
      <c r="BV10" s="20"/>
      <c r="BW10" s="210"/>
      <c r="BX10" s="216"/>
      <c r="BY10" s="211"/>
      <c r="BZ10" s="114" t="s">
        <v>164</v>
      </c>
      <c r="CA10" s="217"/>
      <c r="CB10" s="178"/>
      <c r="CC10" s="210"/>
      <c r="CD10" s="20"/>
      <c r="CE10" s="210"/>
      <c r="CF10" s="210"/>
      <c r="CG10" s="211"/>
      <c r="CH10" s="180" t="s">
        <v>163</v>
      </c>
      <c r="CI10" s="217"/>
      <c r="CJ10" s="178"/>
      <c r="CK10" s="210"/>
      <c r="CL10" s="20"/>
      <c r="CM10" s="210"/>
      <c r="CN10" s="210"/>
      <c r="CO10" s="211"/>
      <c r="CP10" s="179" t="s">
        <v>162</v>
      </c>
    </row>
    <row r="11" spans="1:94" ht="17.25" customHeight="1" thickBot="1">
      <c r="A11" s="50">
        <v>1</v>
      </c>
      <c r="B11" s="51">
        <v>2</v>
      </c>
      <c r="C11" s="51">
        <v>3</v>
      </c>
      <c r="D11" s="51">
        <v>4</v>
      </c>
      <c r="E11" s="51">
        <v>5</v>
      </c>
      <c r="F11" s="52"/>
      <c r="G11" s="52"/>
      <c r="H11" s="52">
        <v>13</v>
      </c>
      <c r="I11" s="52">
        <v>14</v>
      </c>
      <c r="J11" s="52">
        <v>15</v>
      </c>
      <c r="K11" s="52">
        <v>16</v>
      </c>
      <c r="L11" s="52">
        <v>17</v>
      </c>
      <c r="M11" s="52">
        <v>18</v>
      </c>
      <c r="N11" s="52">
        <v>19</v>
      </c>
      <c r="O11" s="52">
        <v>13</v>
      </c>
      <c r="P11" s="52">
        <v>14</v>
      </c>
      <c r="Q11" s="52">
        <v>15</v>
      </c>
      <c r="R11" s="52">
        <v>16</v>
      </c>
      <c r="S11" s="52">
        <v>17</v>
      </c>
      <c r="T11" s="52">
        <v>18</v>
      </c>
      <c r="U11" s="52">
        <v>19</v>
      </c>
      <c r="V11" s="52">
        <v>6</v>
      </c>
      <c r="W11" s="52">
        <v>7</v>
      </c>
      <c r="X11" s="52">
        <v>8</v>
      </c>
      <c r="Y11" s="52">
        <v>9</v>
      </c>
      <c r="Z11" s="52">
        <v>10</v>
      </c>
      <c r="AA11" s="52">
        <v>11</v>
      </c>
      <c r="AB11" s="52">
        <v>12</v>
      </c>
      <c r="AC11" s="52">
        <v>6</v>
      </c>
      <c r="AD11" s="52">
        <v>7</v>
      </c>
      <c r="AE11" s="52">
        <v>8</v>
      </c>
      <c r="AF11" s="52">
        <v>9</v>
      </c>
      <c r="AG11" s="52">
        <v>10</v>
      </c>
      <c r="AH11" s="52">
        <v>11</v>
      </c>
      <c r="AI11" s="52">
        <v>12</v>
      </c>
      <c r="AJ11" s="52">
        <v>6</v>
      </c>
      <c r="AK11" s="52">
        <v>7</v>
      </c>
      <c r="AL11" s="52">
        <v>8</v>
      </c>
      <c r="AM11" s="52">
        <v>9</v>
      </c>
      <c r="AN11" s="52">
        <v>10</v>
      </c>
      <c r="AO11" s="52">
        <v>10</v>
      </c>
      <c r="AP11" s="52">
        <v>11</v>
      </c>
      <c r="AQ11" s="52">
        <v>6</v>
      </c>
      <c r="AR11" s="52">
        <v>7</v>
      </c>
      <c r="AS11" s="52">
        <v>7</v>
      </c>
      <c r="AT11" s="52">
        <v>9</v>
      </c>
      <c r="AU11" s="52">
        <v>10</v>
      </c>
      <c r="AV11" s="52">
        <v>8</v>
      </c>
      <c r="AW11" s="52">
        <v>9</v>
      </c>
      <c r="AX11" s="52">
        <v>6</v>
      </c>
      <c r="AY11" s="52">
        <v>13</v>
      </c>
      <c r="AZ11" s="52">
        <v>7</v>
      </c>
      <c r="BA11" s="52">
        <v>16</v>
      </c>
      <c r="BB11" s="52">
        <v>17</v>
      </c>
      <c r="BC11" s="52">
        <v>8</v>
      </c>
      <c r="BD11" s="121">
        <v>9</v>
      </c>
      <c r="BE11" s="176">
        <v>6</v>
      </c>
      <c r="BF11" s="52">
        <v>18</v>
      </c>
      <c r="BG11" s="52">
        <v>7</v>
      </c>
      <c r="BH11" s="52">
        <v>23</v>
      </c>
      <c r="BI11" s="52">
        <v>24</v>
      </c>
      <c r="BJ11" s="52">
        <v>8</v>
      </c>
      <c r="BK11" s="121">
        <v>9</v>
      </c>
      <c r="BL11" s="50">
        <v>6</v>
      </c>
      <c r="BM11" s="51">
        <v>23</v>
      </c>
      <c r="BN11" s="51">
        <v>7</v>
      </c>
      <c r="BO11" s="51">
        <v>13</v>
      </c>
      <c r="BP11" s="51">
        <v>8</v>
      </c>
      <c r="BQ11" s="51">
        <v>9</v>
      </c>
      <c r="BR11" s="204">
        <v>10</v>
      </c>
      <c r="BS11" s="203">
        <v>11</v>
      </c>
      <c r="BT11" s="197">
        <v>15.5</v>
      </c>
      <c r="BU11" s="198">
        <v>16</v>
      </c>
      <c r="BV11" s="197">
        <v>16.5</v>
      </c>
      <c r="BW11" s="197">
        <v>12</v>
      </c>
      <c r="BX11" s="198">
        <v>13</v>
      </c>
      <c r="BY11" s="197">
        <v>14</v>
      </c>
      <c r="BZ11" s="205">
        <v>15</v>
      </c>
      <c r="CA11" s="50">
        <v>16</v>
      </c>
      <c r="CB11" s="51">
        <v>19.5</v>
      </c>
      <c r="CC11" s="51">
        <v>20</v>
      </c>
      <c r="CD11" s="51">
        <v>20.5</v>
      </c>
      <c r="CE11" s="51">
        <v>17</v>
      </c>
      <c r="CF11" s="51">
        <v>18</v>
      </c>
      <c r="CG11" s="51">
        <v>19</v>
      </c>
      <c r="CH11" s="206">
        <v>20</v>
      </c>
      <c r="CI11" s="50">
        <v>21</v>
      </c>
      <c r="CJ11" s="51">
        <v>23.5</v>
      </c>
      <c r="CK11" s="51">
        <v>24</v>
      </c>
      <c r="CL11" s="51">
        <v>24.5</v>
      </c>
      <c r="CM11" s="51">
        <v>22</v>
      </c>
      <c r="CN11" s="51">
        <v>23</v>
      </c>
      <c r="CO11" s="51">
        <v>24</v>
      </c>
      <c r="CP11" s="204">
        <v>25</v>
      </c>
    </row>
    <row r="12" spans="1:94" s="77" customFormat="1" ht="101.25" customHeight="1">
      <c r="A12" s="71">
        <v>1</v>
      </c>
      <c r="B12" s="72" t="s">
        <v>122</v>
      </c>
      <c r="C12" s="73" t="s">
        <v>167</v>
      </c>
      <c r="D12" s="74" t="s">
        <v>23</v>
      </c>
      <c r="E12" s="75">
        <f>CP12+BR12+BZ12+CH12</f>
        <v>9173750.9000000004</v>
      </c>
      <c r="F12" s="75">
        <f>AW12+AB12+AI12+AP12+U12+N12+BD12+BK12</f>
        <v>22504242</v>
      </c>
      <c r="G12" s="75">
        <f>AB12+AI12+AP12+AW12+U12+N12+BD12+BK12+BR12+BZ12+CH12+CP12</f>
        <v>31677992.899999995</v>
      </c>
      <c r="H12" s="75">
        <v>17617.699999999997</v>
      </c>
      <c r="I12" s="75">
        <v>2407793.2999999998</v>
      </c>
      <c r="J12" s="75">
        <v>1632666.9</v>
      </c>
      <c r="K12" s="75">
        <v>775126.4</v>
      </c>
      <c r="L12" s="75">
        <v>0</v>
      </c>
      <c r="M12" s="75">
        <v>0</v>
      </c>
      <c r="N12" s="75">
        <f>H12+I12+M12</f>
        <v>2425411</v>
      </c>
      <c r="O12" s="75">
        <v>16760.5</v>
      </c>
      <c r="P12" s="75">
        <v>2065745.7999999998</v>
      </c>
      <c r="Q12" s="75">
        <v>1261093.9999999998</v>
      </c>
      <c r="R12" s="75">
        <v>804651.8</v>
      </c>
      <c r="S12" s="75">
        <v>0</v>
      </c>
      <c r="T12" s="75">
        <v>0</v>
      </c>
      <c r="U12" s="75">
        <f>O12+P12+S12+T12</f>
        <v>2082506.2999999998</v>
      </c>
      <c r="V12" s="75">
        <f>V13+V23+V25+V26+V27+V29</f>
        <v>19221.800000000003</v>
      </c>
      <c r="W12" s="75">
        <f>X12+Y12</f>
        <v>1783713.5</v>
      </c>
      <c r="X12" s="75">
        <f>X13+X23+X25+X27+X29</f>
        <v>947680.29999999993</v>
      </c>
      <c r="Y12" s="75">
        <f>Y13+Y23+Y27+Y29</f>
        <v>836033.2</v>
      </c>
      <c r="Z12" s="75">
        <f>Z13+Z23+Z25+Z26+Z27+Z29</f>
        <v>828.7</v>
      </c>
      <c r="AA12" s="75">
        <f>AA13+AA23+AA25+AA26+AA27+AA29</f>
        <v>0</v>
      </c>
      <c r="AB12" s="75">
        <f>V12+X12+Y12+Z12</f>
        <v>1803763.9999999998</v>
      </c>
      <c r="AC12" s="75">
        <f>AC13+AC23+AC25+AC26+AC27+AC29</f>
        <v>19626</v>
      </c>
      <c r="AD12" s="75">
        <f>AE12+AF12</f>
        <v>1624941.5</v>
      </c>
      <c r="AE12" s="75">
        <f>AE13+AE23+AE24+AE25+AE27+AE29</f>
        <v>756303</v>
      </c>
      <c r="AF12" s="75">
        <f>AF13+AF23+AF27+AF29</f>
        <v>868638.5</v>
      </c>
      <c r="AG12" s="75">
        <f>AG13+AG23+AG25+AG26+AG27+AG29</f>
        <v>662.6</v>
      </c>
      <c r="AH12" s="75">
        <f>AH13+AH23+AH25+AH26+AH27+AH29</f>
        <v>0</v>
      </c>
      <c r="AI12" s="75">
        <f>AC12+AD12+AG12+AH12</f>
        <v>1645230.1</v>
      </c>
      <c r="AJ12" s="75">
        <f>AJ13+AJ23+AJ25+AJ26+AJ27+AJ29</f>
        <v>21034.9</v>
      </c>
      <c r="AK12" s="75">
        <f>AL12+AM12</f>
        <v>2616776.1</v>
      </c>
      <c r="AL12" s="75">
        <f>AL13+AL23+AL24+AL25+AL27+AL29</f>
        <v>1713392.1</v>
      </c>
      <c r="AM12" s="75">
        <f>AM13+AM23+AM27+AM29</f>
        <v>903384</v>
      </c>
      <c r="AN12" s="75">
        <f>AN13+AN23+AN25+AN26+AN27+AN29</f>
        <v>0</v>
      </c>
      <c r="AO12" s="75">
        <f>AO13+AO23+AO25+AO26+AO27+AO29</f>
        <v>0</v>
      </c>
      <c r="AP12" s="75">
        <f>AJ12+AK12+AN12+AO12</f>
        <v>2637811</v>
      </c>
      <c r="AQ12" s="75">
        <f>AQ13+AQ23+AQ25+AQ26+AQ27+AQ29</f>
        <v>142374.70000000001</v>
      </c>
      <c r="AR12" s="75"/>
      <c r="AS12" s="75">
        <f>AS13+AS23+AS24+AS25+AS27+AS29</f>
        <v>3624767.0000000005</v>
      </c>
      <c r="AT12" s="75"/>
      <c r="AU12" s="75"/>
      <c r="AV12" s="75"/>
      <c r="AW12" s="75">
        <f t="shared" ref="AW12:AW23" si="0">AQ12+AS12+AU12+AV12</f>
        <v>3767141.7000000007</v>
      </c>
      <c r="AX12" s="75">
        <f>AX13+AX23+AX25+AX26+AX27+AX29</f>
        <v>161836.09999999998</v>
      </c>
      <c r="AY12" s="75"/>
      <c r="AZ12" s="75">
        <f>AZ13+AZ23+AZ24+AZ25+AZ27+AZ29+AZ30</f>
        <v>3964975.8</v>
      </c>
      <c r="BA12" s="75"/>
      <c r="BB12" s="75"/>
      <c r="BC12" s="75">
        <f>BC13+BC23+BC25+BC26+BC27+BC29</f>
        <v>0</v>
      </c>
      <c r="BD12" s="122">
        <f t="shared" ref="BD12:BD13" si="1">AX12+AZ12+BB12+BC12</f>
        <v>4126811.9</v>
      </c>
      <c r="BE12" s="127">
        <f>BE13+BE23+BE25+BE26+BE27+BE29</f>
        <v>118046.2</v>
      </c>
      <c r="BF12" s="76"/>
      <c r="BG12" s="76">
        <f>BG13+BG23+BG24+BG25+BG27+BG29+BG30</f>
        <v>3897519.7999999993</v>
      </c>
      <c r="BH12" s="76">
        <f t="shared" ref="BH12:CG12" si="2">BH13+BH23+BH24+BH25+BH27+BH29+BH30</f>
        <v>0</v>
      </c>
      <c r="BI12" s="76">
        <f t="shared" si="2"/>
        <v>0</v>
      </c>
      <c r="BJ12" s="76">
        <f t="shared" si="2"/>
        <v>0</v>
      </c>
      <c r="BK12" s="128">
        <f>BJ12+BG12+BE12</f>
        <v>4015565.9999999995</v>
      </c>
      <c r="BL12" s="127">
        <f>BL13+BL23+BL24+BL25+BL27+BL29+BL30+BL26</f>
        <v>51369.9</v>
      </c>
      <c r="BM12" s="76"/>
      <c r="BN12" s="76">
        <f t="shared" si="2"/>
        <v>3117486</v>
      </c>
      <c r="BO12" s="76">
        <f t="shared" si="2"/>
        <v>0</v>
      </c>
      <c r="BP12" s="76">
        <f t="shared" si="2"/>
        <v>0</v>
      </c>
      <c r="BQ12" s="76">
        <f t="shared" si="2"/>
        <v>0</v>
      </c>
      <c r="BR12" s="167">
        <f>BQ12+BN12+BL12</f>
        <v>3168855.9</v>
      </c>
      <c r="BS12" s="142">
        <f>BS13+BS23+BS25+BS26+BS27+BS29+BS30</f>
        <v>39152.600000000006</v>
      </c>
      <c r="BT12" s="202"/>
      <c r="BU12" s="202"/>
      <c r="BV12" s="202">
        <f t="shared" ref="BV12:BY12" si="3">BV13+BV23+BV25+BV26+BV27+BV29+BV30</f>
        <v>0</v>
      </c>
      <c r="BW12" s="202">
        <f t="shared" si="3"/>
        <v>1962477.6</v>
      </c>
      <c r="BX12" s="202">
        <f>BX13+BX23+BX25+BX26+BX27+BX29+BX30</f>
        <v>0</v>
      </c>
      <c r="BY12" s="202">
        <f t="shared" si="3"/>
        <v>0</v>
      </c>
      <c r="BZ12" s="143">
        <f>BY12+BW12+BS12+BX12</f>
        <v>2001630.2000000002</v>
      </c>
      <c r="CA12" s="184">
        <f>CA13+CA23+CA24+CA25+CA27+CA29+CA30+CA26</f>
        <v>39152.6</v>
      </c>
      <c r="CB12" s="76"/>
      <c r="CC12" s="76"/>
      <c r="CD12" s="76">
        <f t="shared" si="2"/>
        <v>0</v>
      </c>
      <c r="CE12" s="76">
        <f t="shared" si="2"/>
        <v>1962479.8</v>
      </c>
      <c r="CF12" s="76"/>
      <c r="CG12" s="76">
        <f t="shared" si="2"/>
        <v>0</v>
      </c>
      <c r="CH12" s="167">
        <f>CG12+CE12+CA12+CF12</f>
        <v>2001632.4000000001</v>
      </c>
      <c r="CI12" s="127">
        <f>CI13+CI23+CI24+CI25+CI27+CI29+CI30+CI26</f>
        <v>39152.6</v>
      </c>
      <c r="CJ12" s="76"/>
      <c r="CK12" s="76"/>
      <c r="CL12" s="76">
        <f t="shared" ref="CL12:CO12" si="4">CL13+CL23+CL24+CL25+CL27+CL29+CL30</f>
        <v>0</v>
      </c>
      <c r="CM12" s="76">
        <f>CM13+CM23+CM24+CM25+CM27+CM29+CM30</f>
        <v>1962479.8</v>
      </c>
      <c r="CN12" s="76"/>
      <c r="CO12" s="76">
        <f t="shared" si="4"/>
        <v>0</v>
      </c>
      <c r="CP12" s="128">
        <f>CO12+CM12+CI12+CN12</f>
        <v>2001632.4000000001</v>
      </c>
    </row>
    <row r="13" spans="1:94" s="5" customFormat="1" ht="66.75" customHeight="1">
      <c r="A13" s="24" t="s">
        <v>12</v>
      </c>
      <c r="B13" s="9" t="s">
        <v>24</v>
      </c>
      <c r="C13" s="8" t="s">
        <v>155</v>
      </c>
      <c r="D13" s="23" t="s">
        <v>118</v>
      </c>
      <c r="E13" s="96">
        <f t="shared" ref="E13:E52" si="5">CP13+BR13+BZ13+CH13</f>
        <v>7280928.2999999989</v>
      </c>
      <c r="F13" s="75">
        <f t="shared" ref="F13:F52" si="6">AW13+AB13+AI13+AP13+U13+N13+BD13+BK13</f>
        <v>8691643.2999999989</v>
      </c>
      <c r="G13" s="75">
        <f t="shared" ref="G13:G52" si="7">AB13+AI13+AP13+AW13+U13+N13+BD13+BK13+BR13+BZ13+CH13+CP13</f>
        <v>15972571.599999998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>
        <v>0</v>
      </c>
      <c r="W13" s="60">
        <v>984629.29999999993</v>
      </c>
      <c r="X13" s="60">
        <v>148596.1</v>
      </c>
      <c r="Y13" s="60">
        <v>836033.2</v>
      </c>
      <c r="Z13" s="60">
        <v>0</v>
      </c>
      <c r="AA13" s="60">
        <v>0</v>
      </c>
      <c r="AB13" s="60">
        <v>984629.29999999993</v>
      </c>
      <c r="AC13" s="60">
        <v>0</v>
      </c>
      <c r="AD13" s="60">
        <v>1148556.8999999999</v>
      </c>
      <c r="AE13" s="60">
        <v>279918.40000000002</v>
      </c>
      <c r="AF13" s="60">
        <v>868638.5</v>
      </c>
      <c r="AG13" s="60">
        <v>0</v>
      </c>
      <c r="AH13" s="60">
        <v>0</v>
      </c>
      <c r="AI13" s="60">
        <v>1148556.8999999999</v>
      </c>
      <c r="AJ13" s="60">
        <f>SUM(AJ14:AJ21)</f>
        <v>0</v>
      </c>
      <c r="AK13" s="60">
        <f>AL13+AM13</f>
        <v>1277694.2999999998</v>
      </c>
      <c r="AL13" s="60">
        <f>SUM(AL14:AL21)</f>
        <v>374310.29999999993</v>
      </c>
      <c r="AM13" s="60">
        <f>SUM(AM14:AM19)</f>
        <v>903384</v>
      </c>
      <c r="AN13" s="60">
        <f>SUM(AN14:AN18)</f>
        <v>0</v>
      </c>
      <c r="AO13" s="60">
        <f>SUM(AO14:AO18)</f>
        <v>0</v>
      </c>
      <c r="AP13" s="60">
        <f>AJ13+AK13+AN13+AO13</f>
        <v>1277694.2999999998</v>
      </c>
      <c r="AQ13" s="60">
        <f>SUM(AQ14:AQ21)</f>
        <v>0</v>
      </c>
      <c r="AR13" s="60"/>
      <c r="AS13" s="60">
        <f>SUM(AS14:AS21)</f>
        <v>1758326.6</v>
      </c>
      <c r="AT13" s="60"/>
      <c r="AU13" s="60"/>
      <c r="AV13" s="60"/>
      <c r="AW13" s="60">
        <f t="shared" si="0"/>
        <v>1758326.6</v>
      </c>
      <c r="AX13" s="60">
        <f>SUM(AX14:AX21)</f>
        <v>0</v>
      </c>
      <c r="AY13" s="60"/>
      <c r="AZ13" s="60">
        <f>SUM(AZ14:AZ22)</f>
        <v>1853439.1</v>
      </c>
      <c r="BA13" s="60"/>
      <c r="BB13" s="60"/>
      <c r="BC13" s="60">
        <f>SUM(BC14:BC21)</f>
        <v>0</v>
      </c>
      <c r="BD13" s="116">
        <f t="shared" si="1"/>
        <v>1853439.1</v>
      </c>
      <c r="BE13" s="129">
        <f t="shared" ref="BE13:CD13" si="8">SUM(BE14:BE22)</f>
        <v>0</v>
      </c>
      <c r="BF13" s="95">
        <f t="shared" si="8"/>
        <v>0</v>
      </c>
      <c r="BG13" s="95">
        <f t="shared" si="8"/>
        <v>1668997.1</v>
      </c>
      <c r="BH13" s="95">
        <f t="shared" si="8"/>
        <v>0</v>
      </c>
      <c r="BI13" s="95">
        <f t="shared" si="8"/>
        <v>0</v>
      </c>
      <c r="BJ13" s="95">
        <f t="shared" si="8"/>
        <v>0</v>
      </c>
      <c r="BK13" s="98">
        <f>BJ13+BG13+BE13</f>
        <v>1668997.1</v>
      </c>
      <c r="BL13" s="129">
        <f t="shared" si="8"/>
        <v>12974.2</v>
      </c>
      <c r="BM13" s="95">
        <f t="shared" si="8"/>
        <v>0</v>
      </c>
      <c r="BN13" s="95">
        <f>SUM(BN14,BN17,BN18,BN19,BN22)</f>
        <v>1751747.2999999998</v>
      </c>
      <c r="BO13" s="95">
        <f t="shared" si="8"/>
        <v>0</v>
      </c>
      <c r="BP13" s="95">
        <f t="shared" si="8"/>
        <v>0</v>
      </c>
      <c r="BQ13" s="95">
        <f t="shared" si="8"/>
        <v>0</v>
      </c>
      <c r="BR13" s="168">
        <f>SUM(BL13:BQ13)</f>
        <v>1764721.4999999998</v>
      </c>
      <c r="BS13" s="129">
        <f t="shared" si="8"/>
        <v>13394.7</v>
      </c>
      <c r="BT13" s="95"/>
      <c r="BU13" s="95"/>
      <c r="BV13" s="95">
        <f t="shared" si="8"/>
        <v>0</v>
      </c>
      <c r="BW13" s="95">
        <f>SUM(BW14,BW17,BW18,BW19,BW22)</f>
        <v>1825340.9</v>
      </c>
      <c r="BX13" s="95"/>
      <c r="BY13" s="95">
        <f t="shared" si="8"/>
        <v>0</v>
      </c>
      <c r="BZ13" s="98">
        <f>BS13+BU13+BW13+BY13</f>
        <v>1838735.5999999999</v>
      </c>
      <c r="CA13" s="185">
        <f t="shared" si="8"/>
        <v>13394.7</v>
      </c>
      <c r="CB13" s="95"/>
      <c r="CC13" s="95"/>
      <c r="CD13" s="95">
        <f t="shared" si="8"/>
        <v>0</v>
      </c>
      <c r="CE13" s="95">
        <f>SUM(CE14,CE17,CE18,CE19,CE22)</f>
        <v>1825340.9</v>
      </c>
      <c r="CF13" s="95"/>
      <c r="CG13" s="95"/>
      <c r="CH13" s="168">
        <f>CA13+CC13+CE13+CG13</f>
        <v>1838735.5999999999</v>
      </c>
      <c r="CI13" s="129">
        <f t="shared" ref="CI13:CL13" si="9">SUM(CI14:CI22)</f>
        <v>13394.7</v>
      </c>
      <c r="CJ13" s="95"/>
      <c r="CK13" s="95">
        <f t="shared" si="9"/>
        <v>0</v>
      </c>
      <c r="CL13" s="95">
        <f t="shared" si="9"/>
        <v>0</v>
      </c>
      <c r="CM13" s="95">
        <f>SUM(CM14,CM17,CM18,CM19,CM22)</f>
        <v>1825340.9</v>
      </c>
      <c r="CN13" s="95"/>
      <c r="CO13" s="95"/>
      <c r="CP13" s="98">
        <f>CI13+CK13+CM13+CO13</f>
        <v>1838735.5999999999</v>
      </c>
    </row>
    <row r="14" spans="1:94" s="5" customFormat="1" ht="72.75" customHeight="1">
      <c r="A14" s="17" t="s">
        <v>25</v>
      </c>
      <c r="B14" s="26" t="s">
        <v>52</v>
      </c>
      <c r="C14" s="10" t="s">
        <v>155</v>
      </c>
      <c r="D14" s="14" t="s">
        <v>119</v>
      </c>
      <c r="E14" s="96">
        <f t="shared" si="5"/>
        <v>6332216.4000000004</v>
      </c>
      <c r="F14" s="75">
        <f t="shared" si="6"/>
        <v>7252043</v>
      </c>
      <c r="G14" s="75">
        <f t="shared" si="7"/>
        <v>13584259.400000002</v>
      </c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>
        <v>916479.2</v>
      </c>
      <c r="X14" s="58">
        <v>101346.7</v>
      </c>
      <c r="Y14" s="58">
        <v>815132.5</v>
      </c>
      <c r="Z14" s="58"/>
      <c r="AA14" s="58"/>
      <c r="AB14" s="58">
        <v>916479.2</v>
      </c>
      <c r="AC14" s="58"/>
      <c r="AD14" s="58">
        <f>AE14+AF14</f>
        <v>1072403.1000000001</v>
      </c>
      <c r="AE14" s="58">
        <v>203764.6</v>
      </c>
      <c r="AF14" s="58">
        <v>868638.5</v>
      </c>
      <c r="AG14" s="58"/>
      <c r="AH14" s="58"/>
      <c r="AI14" s="58">
        <f>AC14+AD14+AG14+AH14</f>
        <v>1072403.1000000001</v>
      </c>
      <c r="AJ14" s="58"/>
      <c r="AK14" s="58">
        <f>AL14+AM14</f>
        <v>1116908.1000000001</v>
      </c>
      <c r="AL14" s="58">
        <v>213524.1</v>
      </c>
      <c r="AM14" s="58">
        <v>903384</v>
      </c>
      <c r="AN14" s="58"/>
      <c r="AO14" s="58"/>
      <c r="AP14" s="58">
        <f>AJ14+AK14+AN14+AO14</f>
        <v>1116908.1000000001</v>
      </c>
      <c r="AQ14" s="58"/>
      <c r="AR14" s="58"/>
      <c r="AS14" s="58">
        <v>1338867.3999999999</v>
      </c>
      <c r="AT14" s="58"/>
      <c r="AU14" s="58"/>
      <c r="AV14" s="58"/>
      <c r="AW14" s="58">
        <f t="shared" si="0"/>
        <v>1338867.3999999999</v>
      </c>
      <c r="AX14" s="58"/>
      <c r="AY14" s="58"/>
      <c r="AZ14" s="58">
        <v>1404841</v>
      </c>
      <c r="BA14" s="58"/>
      <c r="BB14" s="58"/>
      <c r="BC14" s="58"/>
      <c r="BD14" s="117">
        <f>AZ14</f>
        <v>1404841</v>
      </c>
      <c r="BE14" s="138"/>
      <c r="BF14" s="65"/>
      <c r="BG14" s="65">
        <v>1402544.2</v>
      </c>
      <c r="BH14" s="65"/>
      <c r="BI14" s="65"/>
      <c r="BJ14" s="65"/>
      <c r="BK14" s="107">
        <f t="shared" ref="BK14:BK22" si="10">BJ14+BG14+BE14</f>
        <v>1402544.2</v>
      </c>
      <c r="BL14" s="138"/>
      <c r="BM14" s="65"/>
      <c r="BN14" s="104">
        <v>1545499.2</v>
      </c>
      <c r="BO14" s="65"/>
      <c r="BP14" s="65"/>
      <c r="BQ14" s="65"/>
      <c r="BR14" s="115">
        <f t="shared" ref="BR14:BR22" si="11">SUM(BL14:BQ14)</f>
        <v>1545499.2</v>
      </c>
      <c r="BS14" s="130"/>
      <c r="BT14" s="94"/>
      <c r="BU14" s="94"/>
      <c r="BV14" s="94"/>
      <c r="BW14" s="106">
        <v>1595572.4</v>
      </c>
      <c r="BX14" s="106"/>
      <c r="BY14" s="94"/>
      <c r="BZ14" s="98">
        <f t="shared" ref="BZ14:BZ21" si="12">SUM(BS14:BY14)</f>
        <v>1595572.4</v>
      </c>
      <c r="CA14" s="186"/>
      <c r="CB14" s="94"/>
      <c r="CC14" s="94"/>
      <c r="CD14" s="94"/>
      <c r="CE14" s="104">
        <v>1595572.4</v>
      </c>
      <c r="CF14" s="104"/>
      <c r="CG14" s="94"/>
      <c r="CH14" s="115">
        <f t="shared" ref="CH14:CH22" si="13">CA14+CC14+CE14+CG14</f>
        <v>1595572.4</v>
      </c>
      <c r="CI14" s="130"/>
      <c r="CJ14" s="94"/>
      <c r="CK14" s="94"/>
      <c r="CL14" s="94"/>
      <c r="CM14" s="104">
        <v>1595572.4</v>
      </c>
      <c r="CN14" s="104"/>
      <c r="CO14" s="94"/>
      <c r="CP14" s="107">
        <f t="shared" ref="CP14:CP28" si="14">CI14+CK14+CM14+CO14</f>
        <v>1595572.4</v>
      </c>
    </row>
    <row r="15" spans="1:94" s="5" customFormat="1" ht="58.5" hidden="1" customHeight="1">
      <c r="A15" s="17" t="s">
        <v>26</v>
      </c>
      <c r="B15" s="26" t="s">
        <v>28</v>
      </c>
      <c r="C15" s="10" t="s">
        <v>154</v>
      </c>
      <c r="D15" s="14" t="s">
        <v>53</v>
      </c>
      <c r="E15" s="96">
        <f t="shared" si="5"/>
        <v>0</v>
      </c>
      <c r="F15" s="75">
        <f t="shared" si="6"/>
        <v>2808</v>
      </c>
      <c r="G15" s="75">
        <f t="shared" si="7"/>
        <v>2808</v>
      </c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>
        <f t="shared" ref="W15:W20" si="15">X15+Y15</f>
        <v>427.6</v>
      </c>
      <c r="X15" s="58">
        <v>427.6</v>
      </c>
      <c r="Y15" s="58"/>
      <c r="Z15" s="58"/>
      <c r="AA15" s="58"/>
      <c r="AB15" s="58">
        <f t="shared" ref="AB15:AB20" si="16">V15+W15+Z15+AA15</f>
        <v>427.6</v>
      </c>
      <c r="AC15" s="58"/>
      <c r="AD15" s="58">
        <f t="shared" ref="AD15:AD19" si="17">AE15+AF15</f>
        <v>1033.5</v>
      </c>
      <c r="AE15" s="58">
        <v>1033.5</v>
      </c>
      <c r="AF15" s="58"/>
      <c r="AG15" s="58"/>
      <c r="AH15" s="58"/>
      <c r="AI15" s="58">
        <f t="shared" ref="AI15:AI19" si="18">AC15+AD15+AG15+AH15</f>
        <v>1033.5</v>
      </c>
      <c r="AJ15" s="58"/>
      <c r="AK15" s="58">
        <f t="shared" ref="AK15:AK19" si="19">AL15+AM15</f>
        <v>47.5</v>
      </c>
      <c r="AL15" s="58">
        <v>47.5</v>
      </c>
      <c r="AM15" s="58"/>
      <c r="AN15" s="58"/>
      <c r="AO15" s="58"/>
      <c r="AP15" s="58">
        <f t="shared" ref="AP15:AP21" si="20">AJ15+AK15+AN15+AO15</f>
        <v>47.5</v>
      </c>
      <c r="AQ15" s="58"/>
      <c r="AR15" s="58"/>
      <c r="AS15" s="58">
        <v>1299.4000000000001</v>
      </c>
      <c r="AT15" s="58"/>
      <c r="AU15" s="58"/>
      <c r="AV15" s="58"/>
      <c r="AW15" s="58">
        <f t="shared" si="0"/>
        <v>1299.4000000000001</v>
      </c>
      <c r="AX15" s="58"/>
      <c r="AY15" s="58"/>
      <c r="AZ15" s="58">
        <v>0</v>
      </c>
      <c r="BA15" s="58"/>
      <c r="BB15" s="58"/>
      <c r="BC15" s="58"/>
      <c r="BD15" s="117">
        <f t="shared" ref="BD15:BD17" si="21">AZ15</f>
        <v>0</v>
      </c>
      <c r="BE15" s="138"/>
      <c r="BF15" s="65"/>
      <c r="BG15" s="65">
        <v>0</v>
      </c>
      <c r="BH15" s="65"/>
      <c r="BI15" s="65"/>
      <c r="BJ15" s="65"/>
      <c r="BK15" s="107">
        <f t="shared" si="10"/>
        <v>0</v>
      </c>
      <c r="BL15" s="138"/>
      <c r="BM15" s="65"/>
      <c r="BN15" s="105">
        <v>0</v>
      </c>
      <c r="BO15" s="65"/>
      <c r="BP15" s="65"/>
      <c r="BQ15" s="65"/>
      <c r="BR15" s="115">
        <f t="shared" si="11"/>
        <v>0</v>
      </c>
      <c r="BS15" s="130"/>
      <c r="BT15" s="94"/>
      <c r="BU15" s="94"/>
      <c r="BV15" s="94"/>
      <c r="BW15" s="65">
        <v>0</v>
      </c>
      <c r="BX15" s="65"/>
      <c r="BY15" s="94"/>
      <c r="BZ15" s="98">
        <f t="shared" si="12"/>
        <v>0</v>
      </c>
      <c r="CA15" s="186"/>
      <c r="CB15" s="94"/>
      <c r="CC15" s="94"/>
      <c r="CD15" s="94"/>
      <c r="CE15" s="105">
        <v>0</v>
      </c>
      <c r="CF15" s="105"/>
      <c r="CG15" s="94"/>
      <c r="CH15" s="115">
        <f t="shared" si="13"/>
        <v>0</v>
      </c>
      <c r="CI15" s="130"/>
      <c r="CJ15" s="94"/>
      <c r="CK15" s="94"/>
      <c r="CL15" s="94"/>
      <c r="CM15" s="105">
        <v>0</v>
      </c>
      <c r="CN15" s="105"/>
      <c r="CO15" s="94"/>
      <c r="CP15" s="107">
        <f t="shared" si="14"/>
        <v>0</v>
      </c>
    </row>
    <row r="16" spans="1:94" s="5" customFormat="1" ht="66" hidden="1" customHeight="1">
      <c r="A16" s="17" t="s">
        <v>26</v>
      </c>
      <c r="B16" s="26" t="s">
        <v>30</v>
      </c>
      <c r="C16" s="10" t="s">
        <v>154</v>
      </c>
      <c r="D16" s="14" t="s">
        <v>54</v>
      </c>
      <c r="E16" s="96">
        <f t="shared" si="5"/>
        <v>11758.8</v>
      </c>
      <c r="F16" s="75">
        <f t="shared" si="6"/>
        <v>30922.7</v>
      </c>
      <c r="G16" s="75">
        <f t="shared" si="7"/>
        <v>42681.499999999993</v>
      </c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>
        <f t="shared" si="15"/>
        <v>2369.1999999999998</v>
      </c>
      <c r="X16" s="58">
        <v>2369.1999999999998</v>
      </c>
      <c r="Y16" s="58"/>
      <c r="Z16" s="58"/>
      <c r="AA16" s="58"/>
      <c r="AB16" s="58">
        <f t="shared" si="16"/>
        <v>2369.1999999999998</v>
      </c>
      <c r="AC16" s="58"/>
      <c r="AD16" s="58">
        <f t="shared" si="17"/>
        <v>2863.2</v>
      </c>
      <c r="AE16" s="58">
        <v>2863.2</v>
      </c>
      <c r="AF16" s="58"/>
      <c r="AG16" s="58"/>
      <c r="AH16" s="58"/>
      <c r="AI16" s="58">
        <f t="shared" si="18"/>
        <v>2863.2</v>
      </c>
      <c r="AJ16" s="58"/>
      <c r="AK16" s="58">
        <f t="shared" si="19"/>
        <v>2873.6</v>
      </c>
      <c r="AL16" s="58">
        <v>2873.6</v>
      </c>
      <c r="AM16" s="58"/>
      <c r="AN16" s="58"/>
      <c r="AO16" s="58"/>
      <c r="AP16" s="58">
        <f t="shared" si="20"/>
        <v>2873.6</v>
      </c>
      <c r="AQ16" s="58"/>
      <c r="AR16" s="58"/>
      <c r="AS16" s="58">
        <v>5442</v>
      </c>
      <c r="AT16" s="58"/>
      <c r="AU16" s="58"/>
      <c r="AV16" s="58"/>
      <c r="AW16" s="58">
        <f t="shared" si="0"/>
        <v>5442</v>
      </c>
      <c r="AX16" s="58"/>
      <c r="AY16" s="58"/>
      <c r="AZ16" s="58">
        <v>14574.9</v>
      </c>
      <c r="BA16" s="58"/>
      <c r="BB16" s="58"/>
      <c r="BC16" s="58"/>
      <c r="BD16" s="117">
        <f t="shared" si="21"/>
        <v>14574.9</v>
      </c>
      <c r="BE16" s="138"/>
      <c r="BF16" s="65"/>
      <c r="BG16" s="65">
        <v>2799.8</v>
      </c>
      <c r="BH16" s="65"/>
      <c r="BI16" s="65"/>
      <c r="BJ16" s="65"/>
      <c r="BK16" s="107">
        <f t="shared" si="10"/>
        <v>2799.8</v>
      </c>
      <c r="BL16" s="138"/>
      <c r="BM16" s="65"/>
      <c r="BN16" s="104">
        <v>2939.7</v>
      </c>
      <c r="BO16" s="65"/>
      <c r="BP16" s="65"/>
      <c r="BQ16" s="65"/>
      <c r="BR16" s="115">
        <f t="shared" si="11"/>
        <v>2939.7</v>
      </c>
      <c r="BS16" s="130"/>
      <c r="BT16" s="94"/>
      <c r="BU16" s="94"/>
      <c r="BV16" s="94"/>
      <c r="BW16" s="106">
        <v>2939.7</v>
      </c>
      <c r="BX16" s="106"/>
      <c r="BY16" s="94"/>
      <c r="BZ16" s="98">
        <f t="shared" si="12"/>
        <v>2939.7</v>
      </c>
      <c r="CA16" s="186"/>
      <c r="CB16" s="94"/>
      <c r="CC16" s="94"/>
      <c r="CD16" s="94"/>
      <c r="CE16" s="104">
        <v>2939.7</v>
      </c>
      <c r="CF16" s="104"/>
      <c r="CG16" s="94"/>
      <c r="CH16" s="115">
        <f t="shared" si="13"/>
        <v>2939.7</v>
      </c>
      <c r="CI16" s="130"/>
      <c r="CJ16" s="94"/>
      <c r="CK16" s="94"/>
      <c r="CL16" s="94"/>
      <c r="CM16" s="104">
        <v>2939.7</v>
      </c>
      <c r="CN16" s="104"/>
      <c r="CO16" s="94"/>
      <c r="CP16" s="107">
        <f t="shared" si="14"/>
        <v>2939.7</v>
      </c>
    </row>
    <row r="17" spans="1:94" s="5" customFormat="1" ht="58.5">
      <c r="A17" s="17" t="s">
        <v>26</v>
      </c>
      <c r="B17" s="26" t="s">
        <v>56</v>
      </c>
      <c r="C17" s="10" t="s">
        <v>155</v>
      </c>
      <c r="D17" s="14" t="s">
        <v>65</v>
      </c>
      <c r="E17" s="96">
        <f t="shared" si="5"/>
        <v>157003.5</v>
      </c>
      <c r="F17" s="75">
        <f t="shared" si="6"/>
        <v>182340.2</v>
      </c>
      <c r="G17" s="75">
        <f t="shared" si="7"/>
        <v>339343.69999999995</v>
      </c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>
        <f t="shared" si="15"/>
        <v>19015.099999999999</v>
      </c>
      <c r="X17" s="58">
        <v>19015.099999999999</v>
      </c>
      <c r="Y17" s="58"/>
      <c r="Z17" s="58"/>
      <c r="AA17" s="58"/>
      <c r="AB17" s="58">
        <f t="shared" si="16"/>
        <v>19015.099999999999</v>
      </c>
      <c r="AC17" s="58"/>
      <c r="AD17" s="58">
        <f t="shared" si="17"/>
        <v>19756.7</v>
      </c>
      <c r="AE17" s="58">
        <v>19756.7</v>
      </c>
      <c r="AF17" s="58"/>
      <c r="AG17" s="58"/>
      <c r="AH17" s="58"/>
      <c r="AI17" s="58">
        <f t="shared" si="18"/>
        <v>19756.7</v>
      </c>
      <c r="AJ17" s="58"/>
      <c r="AK17" s="58">
        <f t="shared" si="19"/>
        <v>20526.3</v>
      </c>
      <c r="AL17" s="58">
        <v>20526.3</v>
      </c>
      <c r="AM17" s="58"/>
      <c r="AN17" s="58"/>
      <c r="AO17" s="58"/>
      <c r="AP17" s="58">
        <f t="shared" si="20"/>
        <v>20526.3</v>
      </c>
      <c r="AQ17" s="58"/>
      <c r="AR17" s="58"/>
      <c r="AS17" s="58">
        <v>39185.5</v>
      </c>
      <c r="AT17" s="58"/>
      <c r="AU17" s="58"/>
      <c r="AV17" s="58"/>
      <c r="AW17" s="58">
        <f t="shared" si="0"/>
        <v>39185.5</v>
      </c>
      <c r="AX17" s="58"/>
      <c r="AY17" s="58"/>
      <c r="AZ17" s="58">
        <v>40705.1</v>
      </c>
      <c r="BA17" s="58"/>
      <c r="BB17" s="58"/>
      <c r="BC17" s="58"/>
      <c r="BD17" s="117">
        <f t="shared" si="21"/>
        <v>40705.1</v>
      </c>
      <c r="BE17" s="138"/>
      <c r="BF17" s="65"/>
      <c r="BG17" s="65">
        <v>43151.5</v>
      </c>
      <c r="BH17" s="65"/>
      <c r="BI17" s="65"/>
      <c r="BJ17" s="65"/>
      <c r="BK17" s="107">
        <f t="shared" si="10"/>
        <v>43151.5</v>
      </c>
      <c r="BL17" s="138"/>
      <c r="BM17" s="65"/>
      <c r="BN17" s="104">
        <v>42443.7</v>
      </c>
      <c r="BO17" s="65"/>
      <c r="BP17" s="65"/>
      <c r="BQ17" s="65"/>
      <c r="BR17" s="115">
        <f t="shared" si="11"/>
        <v>42443.7</v>
      </c>
      <c r="BS17" s="130"/>
      <c r="BT17" s="94"/>
      <c r="BU17" s="94"/>
      <c r="BV17" s="94"/>
      <c r="BW17" s="106">
        <v>38186.6</v>
      </c>
      <c r="BX17" s="106"/>
      <c r="BY17" s="94"/>
      <c r="BZ17" s="98">
        <f t="shared" si="12"/>
        <v>38186.6</v>
      </c>
      <c r="CA17" s="186"/>
      <c r="CB17" s="94"/>
      <c r="CC17" s="94"/>
      <c r="CD17" s="94"/>
      <c r="CE17" s="104">
        <v>38186.6</v>
      </c>
      <c r="CF17" s="104"/>
      <c r="CG17" s="94"/>
      <c r="CH17" s="115">
        <f t="shared" si="13"/>
        <v>38186.6</v>
      </c>
      <c r="CI17" s="130"/>
      <c r="CJ17" s="94"/>
      <c r="CK17" s="94"/>
      <c r="CL17" s="94"/>
      <c r="CM17" s="104">
        <v>38186.6</v>
      </c>
      <c r="CN17" s="104"/>
      <c r="CO17" s="94"/>
      <c r="CP17" s="107">
        <f t="shared" si="14"/>
        <v>38186.6</v>
      </c>
    </row>
    <row r="18" spans="1:94" s="5" customFormat="1" ht="69" customHeight="1">
      <c r="A18" s="17" t="s">
        <v>27</v>
      </c>
      <c r="B18" s="26" t="s">
        <v>57</v>
      </c>
      <c r="C18" s="10" t="s">
        <v>155</v>
      </c>
      <c r="D18" s="14" t="s">
        <v>120</v>
      </c>
      <c r="E18" s="96">
        <f t="shared" si="5"/>
        <v>106242</v>
      </c>
      <c r="F18" s="75">
        <f t="shared" si="6"/>
        <v>132640.79999999999</v>
      </c>
      <c r="G18" s="75">
        <f t="shared" si="7"/>
        <v>238882.79999999996</v>
      </c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>
        <f t="shared" si="15"/>
        <v>20900.7</v>
      </c>
      <c r="X18" s="58"/>
      <c r="Y18" s="58">
        <v>20900.7</v>
      </c>
      <c r="Z18" s="58"/>
      <c r="AA18" s="58"/>
      <c r="AB18" s="58">
        <f t="shared" si="16"/>
        <v>20900.7</v>
      </c>
      <c r="AC18" s="58"/>
      <c r="AD18" s="58">
        <f t="shared" si="17"/>
        <v>22526.6</v>
      </c>
      <c r="AE18" s="58">
        <v>22526.6</v>
      </c>
      <c r="AF18" s="58"/>
      <c r="AG18" s="58"/>
      <c r="AH18" s="58"/>
      <c r="AI18" s="58">
        <f t="shared" si="18"/>
        <v>22526.6</v>
      </c>
      <c r="AJ18" s="58"/>
      <c r="AK18" s="58">
        <f t="shared" si="19"/>
        <v>23698</v>
      </c>
      <c r="AL18" s="58">
        <v>23698</v>
      </c>
      <c r="AM18" s="58"/>
      <c r="AN18" s="58"/>
      <c r="AO18" s="58"/>
      <c r="AP18" s="58">
        <f t="shared" si="20"/>
        <v>23698</v>
      </c>
      <c r="AQ18" s="58"/>
      <c r="AR18" s="58"/>
      <c r="AS18" s="58">
        <v>24688.1</v>
      </c>
      <c r="AT18" s="58"/>
      <c r="AU18" s="58"/>
      <c r="AV18" s="58"/>
      <c r="AW18" s="58">
        <f t="shared" si="0"/>
        <v>24688.1</v>
      </c>
      <c r="AX18" s="58"/>
      <c r="AY18" s="58"/>
      <c r="AZ18" s="58">
        <v>18552.099999999999</v>
      </c>
      <c r="BA18" s="58"/>
      <c r="BB18" s="58"/>
      <c r="BC18" s="58"/>
      <c r="BD18" s="117">
        <f>AZ18</f>
        <v>18552.099999999999</v>
      </c>
      <c r="BE18" s="138"/>
      <c r="BF18" s="65"/>
      <c r="BG18" s="65">
        <v>22275.3</v>
      </c>
      <c r="BH18" s="65"/>
      <c r="BI18" s="65"/>
      <c r="BJ18" s="65"/>
      <c r="BK18" s="107">
        <f t="shared" si="10"/>
        <v>22275.3</v>
      </c>
      <c r="BL18" s="138"/>
      <c r="BM18" s="65"/>
      <c r="BN18" s="104">
        <v>22398.3</v>
      </c>
      <c r="BO18" s="65"/>
      <c r="BP18" s="65"/>
      <c r="BQ18" s="65"/>
      <c r="BR18" s="115">
        <f t="shared" si="11"/>
        <v>22398.3</v>
      </c>
      <c r="BS18" s="130"/>
      <c r="BT18" s="94"/>
      <c r="BU18" s="94"/>
      <c r="BV18" s="94"/>
      <c r="BW18" s="106">
        <v>27947.9</v>
      </c>
      <c r="BX18" s="106"/>
      <c r="BY18" s="94"/>
      <c r="BZ18" s="98">
        <f t="shared" si="12"/>
        <v>27947.9</v>
      </c>
      <c r="CA18" s="186"/>
      <c r="CB18" s="94"/>
      <c r="CC18" s="94"/>
      <c r="CD18" s="94"/>
      <c r="CE18" s="104">
        <v>27947.9</v>
      </c>
      <c r="CF18" s="104"/>
      <c r="CG18" s="94"/>
      <c r="CH18" s="115">
        <f t="shared" si="13"/>
        <v>27947.9</v>
      </c>
      <c r="CI18" s="130"/>
      <c r="CJ18" s="94"/>
      <c r="CK18" s="94"/>
      <c r="CL18" s="94"/>
      <c r="CM18" s="104">
        <v>27947.9</v>
      </c>
      <c r="CN18" s="104"/>
      <c r="CO18" s="94"/>
      <c r="CP18" s="107">
        <f t="shared" si="14"/>
        <v>27947.9</v>
      </c>
    </row>
    <row r="19" spans="1:94" s="5" customFormat="1" ht="76.5" customHeight="1">
      <c r="A19" s="17" t="s">
        <v>29</v>
      </c>
      <c r="B19" s="26" t="s">
        <v>58</v>
      </c>
      <c r="C19" s="10" t="s">
        <v>155</v>
      </c>
      <c r="D19" s="14" t="s">
        <v>121</v>
      </c>
      <c r="E19" s="96">
        <f t="shared" si="5"/>
        <v>152195</v>
      </c>
      <c r="F19" s="75">
        <f t="shared" si="6"/>
        <v>100524.90000000001</v>
      </c>
      <c r="G19" s="75">
        <f t="shared" si="7"/>
        <v>252719.90000000002</v>
      </c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>
        <f t="shared" si="15"/>
        <v>15638.9</v>
      </c>
      <c r="X19" s="58">
        <v>15638.9</v>
      </c>
      <c r="Y19" s="58"/>
      <c r="Z19" s="58"/>
      <c r="AA19" s="58"/>
      <c r="AB19" s="58">
        <f t="shared" si="16"/>
        <v>15638.9</v>
      </c>
      <c r="AC19" s="58"/>
      <c r="AD19" s="58">
        <f t="shared" si="17"/>
        <v>9673.7999999999993</v>
      </c>
      <c r="AE19" s="58">
        <v>9673.7999999999993</v>
      </c>
      <c r="AF19" s="58"/>
      <c r="AG19" s="58"/>
      <c r="AH19" s="58"/>
      <c r="AI19" s="58">
        <f t="shared" si="18"/>
        <v>9673.7999999999993</v>
      </c>
      <c r="AJ19" s="58"/>
      <c r="AK19" s="58">
        <f t="shared" si="19"/>
        <v>10981.8</v>
      </c>
      <c r="AL19" s="58">
        <v>10981.8</v>
      </c>
      <c r="AM19" s="58"/>
      <c r="AN19" s="58"/>
      <c r="AO19" s="58"/>
      <c r="AP19" s="58">
        <f t="shared" si="20"/>
        <v>10981.8</v>
      </c>
      <c r="AQ19" s="58"/>
      <c r="AR19" s="58"/>
      <c r="AS19" s="58">
        <v>26045.599999999999</v>
      </c>
      <c r="AT19" s="58"/>
      <c r="AU19" s="58"/>
      <c r="AV19" s="58"/>
      <c r="AW19" s="58">
        <f t="shared" si="0"/>
        <v>26045.599999999999</v>
      </c>
      <c r="AX19" s="58"/>
      <c r="AY19" s="58"/>
      <c r="AZ19" s="58">
        <v>25554</v>
      </c>
      <c r="BA19" s="58"/>
      <c r="BB19" s="58"/>
      <c r="BC19" s="58"/>
      <c r="BD19" s="117">
        <f>AZ19</f>
        <v>25554</v>
      </c>
      <c r="BE19" s="138"/>
      <c r="BF19" s="65"/>
      <c r="BG19" s="65">
        <v>12630.8</v>
      </c>
      <c r="BH19" s="65"/>
      <c r="BI19" s="65"/>
      <c r="BJ19" s="65"/>
      <c r="BK19" s="107">
        <f t="shared" si="10"/>
        <v>12630.8</v>
      </c>
      <c r="BL19" s="138"/>
      <c r="BM19" s="65"/>
      <c r="BN19" s="104">
        <v>21316.7</v>
      </c>
      <c r="BO19" s="65"/>
      <c r="BP19" s="65"/>
      <c r="BQ19" s="65"/>
      <c r="BR19" s="115">
        <f t="shared" si="11"/>
        <v>21316.7</v>
      </c>
      <c r="BS19" s="130"/>
      <c r="BT19" s="94"/>
      <c r="BU19" s="94"/>
      <c r="BV19" s="94"/>
      <c r="BW19" s="106">
        <v>43626.1</v>
      </c>
      <c r="BX19" s="106"/>
      <c r="BY19" s="94"/>
      <c r="BZ19" s="98">
        <f>SUM(BS19:BY19)</f>
        <v>43626.1</v>
      </c>
      <c r="CA19" s="186"/>
      <c r="CB19" s="94"/>
      <c r="CC19" s="94"/>
      <c r="CD19" s="94"/>
      <c r="CE19" s="104">
        <v>43626.1</v>
      </c>
      <c r="CF19" s="104"/>
      <c r="CG19" s="94"/>
      <c r="CH19" s="115">
        <f t="shared" si="13"/>
        <v>43626.1</v>
      </c>
      <c r="CI19" s="130"/>
      <c r="CJ19" s="94"/>
      <c r="CK19" s="94"/>
      <c r="CL19" s="94"/>
      <c r="CM19" s="104">
        <v>43626.1</v>
      </c>
      <c r="CN19" s="104"/>
      <c r="CO19" s="94"/>
      <c r="CP19" s="107">
        <f t="shared" si="14"/>
        <v>43626.1</v>
      </c>
    </row>
    <row r="20" spans="1:94" s="5" customFormat="1" ht="68.25" hidden="1" customHeight="1">
      <c r="A20" s="17" t="s">
        <v>31</v>
      </c>
      <c r="B20" s="26" t="s">
        <v>84</v>
      </c>
      <c r="C20" s="10" t="s">
        <v>154</v>
      </c>
      <c r="D20" s="14" t="s">
        <v>85</v>
      </c>
      <c r="E20" s="96">
        <f t="shared" si="5"/>
        <v>0</v>
      </c>
      <c r="F20" s="75">
        <f t="shared" si="6"/>
        <v>121295.4</v>
      </c>
      <c r="G20" s="75">
        <f t="shared" si="7"/>
        <v>121295.4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>
        <f t="shared" si="15"/>
        <v>1776.1</v>
      </c>
      <c r="X20" s="58">
        <v>1776.1</v>
      </c>
      <c r="Y20" s="58"/>
      <c r="Z20" s="58"/>
      <c r="AA20" s="58"/>
      <c r="AB20" s="58">
        <f t="shared" si="16"/>
        <v>1776.1</v>
      </c>
      <c r="AC20" s="58"/>
      <c r="AD20" s="58"/>
      <c r="AE20" s="58"/>
      <c r="AF20" s="58"/>
      <c r="AG20" s="58"/>
      <c r="AH20" s="58"/>
      <c r="AI20" s="58"/>
      <c r="AJ20" s="58"/>
      <c r="AK20" s="58">
        <v>74262.399999999994</v>
      </c>
      <c r="AL20" s="58">
        <v>74262.399999999994</v>
      </c>
      <c r="AM20" s="58"/>
      <c r="AN20" s="58"/>
      <c r="AO20" s="58"/>
      <c r="AP20" s="58">
        <f t="shared" si="20"/>
        <v>74262.399999999994</v>
      </c>
      <c r="AQ20" s="58"/>
      <c r="AR20" s="58"/>
      <c r="AS20" s="58">
        <v>24287.200000000001</v>
      </c>
      <c r="AT20" s="58"/>
      <c r="AU20" s="58"/>
      <c r="AV20" s="58"/>
      <c r="AW20" s="58">
        <f t="shared" si="0"/>
        <v>24287.200000000001</v>
      </c>
      <c r="AX20" s="58"/>
      <c r="AY20" s="58"/>
      <c r="AZ20" s="58">
        <v>13369.7</v>
      </c>
      <c r="BA20" s="58"/>
      <c r="BB20" s="58"/>
      <c r="BC20" s="58"/>
      <c r="BD20" s="117">
        <f>AZ20</f>
        <v>13369.7</v>
      </c>
      <c r="BE20" s="138"/>
      <c r="BF20" s="65"/>
      <c r="BG20" s="65">
        <v>7600</v>
      </c>
      <c r="BH20" s="65"/>
      <c r="BI20" s="65"/>
      <c r="BJ20" s="65"/>
      <c r="BK20" s="107">
        <f t="shared" si="10"/>
        <v>7600</v>
      </c>
      <c r="BL20" s="138"/>
      <c r="BM20" s="65"/>
      <c r="BN20" s="104"/>
      <c r="BO20" s="65"/>
      <c r="BP20" s="65"/>
      <c r="BQ20" s="65"/>
      <c r="BR20" s="115">
        <f t="shared" si="11"/>
        <v>0</v>
      </c>
      <c r="BS20" s="130"/>
      <c r="BT20" s="94"/>
      <c r="BU20" s="94"/>
      <c r="BV20" s="94"/>
      <c r="BW20" s="106"/>
      <c r="BX20" s="106"/>
      <c r="BY20" s="94"/>
      <c r="BZ20" s="98">
        <f t="shared" si="12"/>
        <v>0</v>
      </c>
      <c r="CA20" s="186"/>
      <c r="CB20" s="94"/>
      <c r="CC20" s="94"/>
      <c r="CD20" s="94"/>
      <c r="CE20" s="104"/>
      <c r="CF20" s="104"/>
      <c r="CG20" s="94"/>
      <c r="CH20" s="115">
        <f t="shared" si="13"/>
        <v>0</v>
      </c>
      <c r="CI20" s="130"/>
      <c r="CJ20" s="94"/>
      <c r="CK20" s="94"/>
      <c r="CL20" s="94"/>
      <c r="CM20" s="104"/>
      <c r="CN20" s="104"/>
      <c r="CO20" s="94"/>
      <c r="CP20" s="107">
        <f t="shared" si="14"/>
        <v>0</v>
      </c>
    </row>
    <row r="21" spans="1:94" s="5" customFormat="1" ht="58.5" hidden="1" customHeight="1">
      <c r="A21" s="17" t="s">
        <v>32</v>
      </c>
      <c r="B21" s="26" t="s">
        <v>116</v>
      </c>
      <c r="C21" s="10" t="s">
        <v>154</v>
      </c>
      <c r="D21" s="14" t="s">
        <v>86</v>
      </c>
      <c r="E21" s="96">
        <f t="shared" si="5"/>
        <v>0</v>
      </c>
      <c r="F21" s="75">
        <f t="shared" si="6"/>
        <v>326908</v>
      </c>
      <c r="G21" s="75">
        <f t="shared" si="7"/>
        <v>326908</v>
      </c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>
        <v>28396.6</v>
      </c>
      <c r="AL21" s="58">
        <v>28396.6</v>
      </c>
      <c r="AM21" s="58"/>
      <c r="AN21" s="58"/>
      <c r="AO21" s="58"/>
      <c r="AP21" s="58">
        <f t="shared" si="20"/>
        <v>28396.6</v>
      </c>
      <c r="AQ21" s="58"/>
      <c r="AR21" s="58"/>
      <c r="AS21" s="58">
        <v>298511.40000000002</v>
      </c>
      <c r="AT21" s="58"/>
      <c r="AU21" s="58"/>
      <c r="AV21" s="58"/>
      <c r="AW21" s="58">
        <f t="shared" si="0"/>
        <v>298511.40000000002</v>
      </c>
      <c r="AX21" s="58"/>
      <c r="AY21" s="58"/>
      <c r="AZ21" s="58"/>
      <c r="BA21" s="58"/>
      <c r="BB21" s="58"/>
      <c r="BC21" s="58"/>
      <c r="BD21" s="117">
        <f t="shared" ref="BD21:BD27" si="22">AZ21</f>
        <v>0</v>
      </c>
      <c r="BE21" s="138"/>
      <c r="BF21" s="65"/>
      <c r="BG21" s="65"/>
      <c r="BH21" s="65"/>
      <c r="BI21" s="65"/>
      <c r="BJ21" s="65"/>
      <c r="BK21" s="107">
        <f t="shared" si="10"/>
        <v>0</v>
      </c>
      <c r="BL21" s="138"/>
      <c r="BM21" s="65"/>
      <c r="BN21" s="105"/>
      <c r="BO21" s="65"/>
      <c r="BP21" s="65"/>
      <c r="BQ21" s="65"/>
      <c r="BR21" s="115">
        <f t="shared" si="11"/>
        <v>0</v>
      </c>
      <c r="BS21" s="130"/>
      <c r="BT21" s="94"/>
      <c r="BU21" s="94"/>
      <c r="BV21" s="94"/>
      <c r="BW21" s="65"/>
      <c r="BX21" s="65"/>
      <c r="BY21" s="94"/>
      <c r="BZ21" s="98">
        <f t="shared" si="12"/>
        <v>0</v>
      </c>
      <c r="CA21" s="186"/>
      <c r="CB21" s="94"/>
      <c r="CC21" s="94"/>
      <c r="CD21" s="94"/>
      <c r="CE21" s="105"/>
      <c r="CF21" s="105"/>
      <c r="CG21" s="94"/>
      <c r="CH21" s="115">
        <f t="shared" si="13"/>
        <v>0</v>
      </c>
      <c r="CI21" s="130"/>
      <c r="CJ21" s="94"/>
      <c r="CK21" s="94"/>
      <c r="CL21" s="94"/>
      <c r="CM21" s="105"/>
      <c r="CN21" s="105"/>
      <c r="CO21" s="94"/>
      <c r="CP21" s="107">
        <f t="shared" si="14"/>
        <v>0</v>
      </c>
    </row>
    <row r="22" spans="1:94" s="5" customFormat="1" ht="76.5" customHeight="1">
      <c r="A22" s="17" t="s">
        <v>31</v>
      </c>
      <c r="B22" s="26" t="s">
        <v>113</v>
      </c>
      <c r="C22" s="10" t="s">
        <v>155</v>
      </c>
      <c r="D22" s="14" t="s">
        <v>86</v>
      </c>
      <c r="E22" s="96">
        <f t="shared" si="5"/>
        <v>533271.4</v>
      </c>
      <c r="F22" s="75">
        <f t="shared" si="6"/>
        <v>513837.8</v>
      </c>
      <c r="G22" s="75">
        <f t="shared" si="7"/>
        <v>1047109.2</v>
      </c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>
        <v>335842.3</v>
      </c>
      <c r="BA22" s="58"/>
      <c r="BB22" s="58"/>
      <c r="BC22" s="58"/>
      <c r="BD22" s="117">
        <f t="shared" si="22"/>
        <v>335842.3</v>
      </c>
      <c r="BE22" s="138"/>
      <c r="BF22" s="65"/>
      <c r="BG22" s="65">
        <v>177995.5</v>
      </c>
      <c r="BH22" s="65"/>
      <c r="BI22" s="65"/>
      <c r="BJ22" s="65"/>
      <c r="BK22" s="107">
        <f t="shared" si="10"/>
        <v>177995.5</v>
      </c>
      <c r="BL22" s="138">
        <v>12974.2</v>
      </c>
      <c r="BM22" s="65"/>
      <c r="BN22" s="104">
        <v>120089.4</v>
      </c>
      <c r="BO22" s="65"/>
      <c r="BP22" s="65"/>
      <c r="BQ22" s="65"/>
      <c r="BR22" s="115">
        <f t="shared" si="11"/>
        <v>133063.6</v>
      </c>
      <c r="BS22" s="130">
        <v>13394.7</v>
      </c>
      <c r="BT22" s="94"/>
      <c r="BU22" s="94"/>
      <c r="BV22" s="94"/>
      <c r="BW22" s="106">
        <v>120007.9</v>
      </c>
      <c r="BX22" s="106"/>
      <c r="BY22" s="94"/>
      <c r="BZ22" s="98">
        <f t="shared" ref="BZ22" si="23">BS22+BU22+BW22+BY22</f>
        <v>133402.6</v>
      </c>
      <c r="CA22" s="186">
        <v>13394.7</v>
      </c>
      <c r="CB22" s="94"/>
      <c r="CC22" s="94"/>
      <c r="CD22" s="94"/>
      <c r="CE22" s="104">
        <v>120007.9</v>
      </c>
      <c r="CF22" s="104"/>
      <c r="CG22" s="94"/>
      <c r="CH22" s="115">
        <f t="shared" si="13"/>
        <v>133402.6</v>
      </c>
      <c r="CI22" s="130">
        <v>13394.7</v>
      </c>
      <c r="CJ22" s="94"/>
      <c r="CK22" s="94"/>
      <c r="CL22" s="94"/>
      <c r="CM22" s="104">
        <v>120007.9</v>
      </c>
      <c r="CN22" s="104"/>
      <c r="CO22" s="94"/>
      <c r="CP22" s="107">
        <f t="shared" si="14"/>
        <v>133402.6</v>
      </c>
    </row>
    <row r="23" spans="1:94" s="5" customFormat="1" ht="110.25" customHeight="1">
      <c r="A23" s="24" t="s">
        <v>37</v>
      </c>
      <c r="B23" s="27" t="s">
        <v>33</v>
      </c>
      <c r="C23" s="8" t="s">
        <v>168</v>
      </c>
      <c r="D23" s="23" t="s">
        <v>80</v>
      </c>
      <c r="E23" s="96">
        <f>CP23+BR23+BZ23+CH23</f>
        <v>1189088</v>
      </c>
      <c r="F23" s="75">
        <f t="shared" si="6"/>
        <v>6604470.0999999996</v>
      </c>
      <c r="G23" s="75">
        <f t="shared" si="7"/>
        <v>7793558.0999999996</v>
      </c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>
        <v>2338.8000000000002</v>
      </c>
      <c r="W23" s="60">
        <v>679653.4</v>
      </c>
      <c r="X23" s="60">
        <v>679653.4</v>
      </c>
      <c r="Y23" s="60"/>
      <c r="Z23" s="60"/>
      <c r="AA23" s="60"/>
      <c r="AB23" s="60">
        <v>681992.20000000007</v>
      </c>
      <c r="AC23" s="60"/>
      <c r="AD23" s="60">
        <v>119093.5</v>
      </c>
      <c r="AE23" s="60">
        <v>119093.5</v>
      </c>
      <c r="AF23" s="60"/>
      <c r="AG23" s="60"/>
      <c r="AH23" s="60"/>
      <c r="AI23" s="60">
        <v>119093.5</v>
      </c>
      <c r="AJ23" s="60"/>
      <c r="AK23" s="60">
        <f>AL23+AM23</f>
        <v>943063.7</v>
      </c>
      <c r="AL23" s="60">
        <v>943063.7</v>
      </c>
      <c r="AM23" s="60">
        <f>SUM(AM24:AM24)</f>
        <v>0</v>
      </c>
      <c r="AN23" s="60">
        <f>SUM(AN24:AN24)</f>
        <v>0</v>
      </c>
      <c r="AO23" s="60">
        <f>SUM(AO24:AO24)</f>
        <v>0</v>
      </c>
      <c r="AP23" s="60">
        <f>AJ23+AK23+AN23+AO23</f>
        <v>943063.7</v>
      </c>
      <c r="AQ23" s="60">
        <v>0</v>
      </c>
      <c r="AR23" s="60"/>
      <c r="AS23" s="60">
        <v>1362635.8</v>
      </c>
      <c r="AT23" s="60">
        <f>SUM(AT24:AT24)</f>
        <v>0</v>
      </c>
      <c r="AU23" s="60">
        <f>SUM(AU24:AU24)</f>
        <v>0</v>
      </c>
      <c r="AV23" s="60">
        <f>SUM(AV24:AV24)</f>
        <v>0</v>
      </c>
      <c r="AW23" s="60">
        <f t="shared" si="0"/>
        <v>1362635.8</v>
      </c>
      <c r="AX23" s="60">
        <v>0</v>
      </c>
      <c r="AY23" s="60"/>
      <c r="AZ23" s="60">
        <v>1675849.5</v>
      </c>
      <c r="BA23" s="60">
        <v>0</v>
      </c>
      <c r="BB23" s="60">
        <v>0</v>
      </c>
      <c r="BC23" s="60">
        <v>0</v>
      </c>
      <c r="BD23" s="116">
        <f t="shared" si="22"/>
        <v>1675849.5</v>
      </c>
      <c r="BE23" s="131">
        <v>0</v>
      </c>
      <c r="BF23" s="64"/>
      <c r="BG23" s="64">
        <v>1821835.4</v>
      </c>
      <c r="BH23" s="64">
        <v>0</v>
      </c>
      <c r="BI23" s="64">
        <v>0</v>
      </c>
      <c r="BJ23" s="64">
        <v>0</v>
      </c>
      <c r="BK23" s="148">
        <f t="shared" ref="BK23:BK30" si="24">BE23+BG23+BI23+BJ23</f>
        <v>1821835.4</v>
      </c>
      <c r="BL23" s="129">
        <v>0</v>
      </c>
      <c r="BM23" s="95"/>
      <c r="BN23" s="95">
        <v>1189088</v>
      </c>
      <c r="BO23" s="95"/>
      <c r="BP23" s="95"/>
      <c r="BQ23" s="95">
        <v>0</v>
      </c>
      <c r="BR23" s="168">
        <f>BQ23+BN23+BL23</f>
        <v>1189088</v>
      </c>
      <c r="BS23" s="129">
        <v>0</v>
      </c>
      <c r="BT23" s="95"/>
      <c r="BU23" s="95"/>
      <c r="BV23" s="95"/>
      <c r="BW23" s="95">
        <v>0</v>
      </c>
      <c r="BX23" s="95"/>
      <c r="BY23" s="95">
        <v>0</v>
      </c>
      <c r="BZ23" s="98">
        <f t="shared" ref="BZ23:BZ33" si="25">BS23+BU23+BW23+BY23</f>
        <v>0</v>
      </c>
      <c r="CA23" s="185">
        <v>0</v>
      </c>
      <c r="CB23" s="95"/>
      <c r="CC23" s="95"/>
      <c r="CD23" s="95"/>
      <c r="CE23" s="95">
        <v>0</v>
      </c>
      <c r="CF23" s="95"/>
      <c r="CG23" s="95"/>
      <c r="CH23" s="168">
        <f t="shared" ref="CH23:CH28" si="26">CA23+CC23+CE23+CG23</f>
        <v>0</v>
      </c>
      <c r="CI23" s="129">
        <v>0</v>
      </c>
      <c r="CJ23" s="95"/>
      <c r="CK23" s="95"/>
      <c r="CL23" s="95"/>
      <c r="CM23" s="95">
        <v>0</v>
      </c>
      <c r="CN23" s="95"/>
      <c r="CO23" s="95"/>
      <c r="CP23" s="98">
        <f t="shared" si="14"/>
        <v>0</v>
      </c>
    </row>
    <row r="24" spans="1:94" s="5" customFormat="1" ht="69" hidden="1" customHeight="1">
      <c r="A24" s="25" t="s">
        <v>38</v>
      </c>
      <c r="B24" s="27" t="s">
        <v>62</v>
      </c>
      <c r="C24" s="8" t="s">
        <v>141</v>
      </c>
      <c r="D24" s="28" t="s">
        <v>71</v>
      </c>
      <c r="E24" s="96">
        <f t="shared" si="5"/>
        <v>0</v>
      </c>
      <c r="F24" s="75">
        <f t="shared" si="6"/>
        <v>1150253.7</v>
      </c>
      <c r="G24" s="75">
        <f t="shared" si="7"/>
        <v>1150253.7</v>
      </c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>
        <v>224891.4</v>
      </c>
      <c r="AE24" s="60">
        <v>224891.4</v>
      </c>
      <c r="AF24" s="60"/>
      <c r="AG24" s="60"/>
      <c r="AH24" s="60"/>
      <c r="AI24" s="60">
        <v>224891.4</v>
      </c>
      <c r="AJ24" s="60"/>
      <c r="AK24" s="60">
        <f>AL24+AM24</f>
        <v>229327.8</v>
      </c>
      <c r="AL24" s="60">
        <v>229327.8</v>
      </c>
      <c r="AM24" s="60"/>
      <c r="AN24" s="60"/>
      <c r="AO24" s="60"/>
      <c r="AP24" s="60">
        <f>AJ24+AK24</f>
        <v>229327.8</v>
      </c>
      <c r="AQ24" s="60"/>
      <c r="AR24" s="60"/>
      <c r="AS24" s="60">
        <v>308860.09999999998</v>
      </c>
      <c r="AT24" s="60"/>
      <c r="AU24" s="60"/>
      <c r="AV24" s="60"/>
      <c r="AW24" s="60">
        <f>AQ24+AS24</f>
        <v>308860.09999999998</v>
      </c>
      <c r="AX24" s="60"/>
      <c r="AY24" s="60"/>
      <c r="AZ24" s="60">
        <v>187365.5</v>
      </c>
      <c r="BA24" s="60"/>
      <c r="BB24" s="60"/>
      <c r="BC24" s="60"/>
      <c r="BD24" s="116">
        <f t="shared" si="22"/>
        <v>187365.5</v>
      </c>
      <c r="BE24" s="131"/>
      <c r="BF24" s="64"/>
      <c r="BG24" s="64">
        <v>199808.9</v>
      </c>
      <c r="BH24" s="64"/>
      <c r="BI24" s="64"/>
      <c r="BJ24" s="64"/>
      <c r="BK24" s="148">
        <f t="shared" si="24"/>
        <v>199808.9</v>
      </c>
      <c r="BL24" s="129"/>
      <c r="BM24" s="95"/>
      <c r="BN24" s="95">
        <v>0</v>
      </c>
      <c r="BO24" s="95"/>
      <c r="BP24" s="95"/>
      <c r="BQ24" s="95"/>
      <c r="BR24" s="168">
        <f t="shared" ref="BR24:BR26" si="27">BQ24+BN24+BL24</f>
        <v>0</v>
      </c>
      <c r="BS24" s="129"/>
      <c r="BT24" s="95"/>
      <c r="BU24" s="95"/>
      <c r="BV24" s="95"/>
      <c r="BW24" s="95"/>
      <c r="BX24" s="95"/>
      <c r="BY24" s="95"/>
      <c r="BZ24" s="98">
        <f t="shared" si="25"/>
        <v>0</v>
      </c>
      <c r="CA24" s="185"/>
      <c r="CB24" s="95"/>
      <c r="CC24" s="95"/>
      <c r="CD24" s="95"/>
      <c r="CE24" s="95"/>
      <c r="CF24" s="95"/>
      <c r="CG24" s="95"/>
      <c r="CH24" s="168">
        <f t="shared" si="26"/>
        <v>0</v>
      </c>
      <c r="CI24" s="129"/>
      <c r="CJ24" s="95"/>
      <c r="CK24" s="95"/>
      <c r="CL24" s="95"/>
      <c r="CM24" s="95"/>
      <c r="CN24" s="95"/>
      <c r="CO24" s="95"/>
      <c r="CP24" s="98">
        <f t="shared" si="14"/>
        <v>0</v>
      </c>
    </row>
    <row r="25" spans="1:94" s="5" customFormat="1" ht="69" customHeight="1">
      <c r="A25" s="25" t="s">
        <v>38</v>
      </c>
      <c r="B25" s="27" t="s">
        <v>34</v>
      </c>
      <c r="C25" s="8" t="s">
        <v>173</v>
      </c>
      <c r="D25" s="23" t="s">
        <v>44</v>
      </c>
      <c r="E25" s="96">
        <f t="shared" si="5"/>
        <v>3031.7</v>
      </c>
      <c r="F25" s="75">
        <f t="shared" si="6"/>
        <v>154077.29999999999</v>
      </c>
      <c r="G25" s="75">
        <f t="shared" si="7"/>
        <v>157109</v>
      </c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>
        <f>X25+Y25</f>
        <v>25491.1</v>
      </c>
      <c r="X25" s="60">
        <v>25491.1</v>
      </c>
      <c r="Y25" s="60"/>
      <c r="Z25" s="60"/>
      <c r="AA25" s="60"/>
      <c r="AB25" s="60">
        <f>V25+W25</f>
        <v>25491.1</v>
      </c>
      <c r="AC25" s="60"/>
      <c r="AD25" s="60">
        <f>AE25+AF25</f>
        <v>27903.9</v>
      </c>
      <c r="AE25" s="60">
        <v>27903.9</v>
      </c>
      <c r="AF25" s="60"/>
      <c r="AG25" s="60"/>
      <c r="AH25" s="60"/>
      <c r="AI25" s="60">
        <f>AC25+AD25</f>
        <v>27903.9</v>
      </c>
      <c r="AJ25" s="60"/>
      <c r="AK25" s="60">
        <f>AL25+AM25</f>
        <v>14735.1</v>
      </c>
      <c r="AL25" s="60">
        <v>14735.1</v>
      </c>
      <c r="AM25" s="60"/>
      <c r="AN25" s="60"/>
      <c r="AO25" s="60"/>
      <c r="AP25" s="60">
        <f>AJ25+AK25</f>
        <v>14735.1</v>
      </c>
      <c r="AQ25" s="60">
        <v>4200</v>
      </c>
      <c r="AR25" s="60"/>
      <c r="AS25" s="60">
        <v>41569.300000000003</v>
      </c>
      <c r="AT25" s="60"/>
      <c r="AU25" s="60"/>
      <c r="AV25" s="60"/>
      <c r="AW25" s="60">
        <f>AQ25+AS25</f>
        <v>45769.3</v>
      </c>
      <c r="AX25" s="60"/>
      <c r="AY25" s="60"/>
      <c r="AZ25" s="60">
        <v>24009.1</v>
      </c>
      <c r="BA25" s="60"/>
      <c r="BB25" s="60"/>
      <c r="BC25" s="60"/>
      <c r="BD25" s="116">
        <f t="shared" si="22"/>
        <v>24009.1</v>
      </c>
      <c r="BE25" s="131"/>
      <c r="BF25" s="64"/>
      <c r="BG25" s="64">
        <v>16168.8</v>
      </c>
      <c r="BH25" s="64"/>
      <c r="BI25" s="64"/>
      <c r="BJ25" s="64"/>
      <c r="BK25" s="148">
        <f t="shared" si="24"/>
        <v>16168.8</v>
      </c>
      <c r="BL25" s="129"/>
      <c r="BM25" s="95"/>
      <c r="BN25" s="95">
        <v>3031.7</v>
      </c>
      <c r="BO25" s="95"/>
      <c r="BP25" s="95"/>
      <c r="BQ25" s="95"/>
      <c r="BR25" s="168">
        <f t="shared" si="27"/>
        <v>3031.7</v>
      </c>
      <c r="BS25" s="129"/>
      <c r="BT25" s="95"/>
      <c r="BU25" s="95"/>
      <c r="BV25" s="95"/>
      <c r="BW25" s="95">
        <v>0</v>
      </c>
      <c r="BX25" s="95"/>
      <c r="BY25" s="95"/>
      <c r="BZ25" s="98">
        <f t="shared" si="25"/>
        <v>0</v>
      </c>
      <c r="CA25" s="185"/>
      <c r="CB25" s="95"/>
      <c r="CC25" s="95"/>
      <c r="CD25" s="95"/>
      <c r="CE25" s="95">
        <v>0</v>
      </c>
      <c r="CF25" s="95"/>
      <c r="CG25" s="95"/>
      <c r="CH25" s="168">
        <f t="shared" si="26"/>
        <v>0</v>
      </c>
      <c r="CI25" s="129"/>
      <c r="CJ25" s="95"/>
      <c r="CK25" s="95"/>
      <c r="CL25" s="95"/>
      <c r="CM25" s="95">
        <v>0</v>
      </c>
      <c r="CN25" s="95"/>
      <c r="CO25" s="95"/>
      <c r="CP25" s="98">
        <f t="shared" si="14"/>
        <v>0</v>
      </c>
    </row>
    <row r="26" spans="1:94" s="5" customFormat="1" ht="70.5" customHeight="1">
      <c r="A26" s="25" t="s">
        <v>39</v>
      </c>
      <c r="B26" s="27" t="s">
        <v>63</v>
      </c>
      <c r="C26" s="8" t="s">
        <v>155</v>
      </c>
      <c r="D26" s="23" t="s">
        <v>66</v>
      </c>
      <c r="E26" s="96">
        <f t="shared" si="5"/>
        <v>110632.4</v>
      </c>
      <c r="F26" s="75">
        <f t="shared" si="6"/>
        <v>416153.89999999997</v>
      </c>
      <c r="G26" s="75">
        <f t="shared" si="7"/>
        <v>526786.29999999993</v>
      </c>
      <c r="H26" s="60"/>
      <c r="I26" s="60"/>
      <c r="J26" s="60"/>
      <c r="K26" s="60"/>
      <c r="L26" s="60"/>
      <c r="M26" s="60"/>
      <c r="N26" s="60">
        <v>15850.5</v>
      </c>
      <c r="O26" s="60"/>
      <c r="P26" s="60"/>
      <c r="Q26" s="60"/>
      <c r="R26" s="60"/>
      <c r="S26" s="60"/>
      <c r="T26" s="60"/>
      <c r="U26" s="60">
        <v>16760.5</v>
      </c>
      <c r="V26" s="60">
        <v>16883.000000000004</v>
      </c>
      <c r="W26" s="60"/>
      <c r="X26" s="60"/>
      <c r="Y26" s="60">
        <v>0</v>
      </c>
      <c r="Z26" s="60">
        <v>0</v>
      </c>
      <c r="AA26" s="60">
        <v>0</v>
      </c>
      <c r="AB26" s="60">
        <v>16883.000000000004</v>
      </c>
      <c r="AC26" s="60">
        <v>19626</v>
      </c>
      <c r="AD26" s="60"/>
      <c r="AE26" s="60"/>
      <c r="AF26" s="60">
        <v>0</v>
      </c>
      <c r="AG26" s="60">
        <v>0</v>
      </c>
      <c r="AH26" s="60">
        <v>0</v>
      </c>
      <c r="AI26" s="60">
        <v>19626</v>
      </c>
      <c r="AJ26" s="60">
        <v>21034.9</v>
      </c>
      <c r="AK26" s="60"/>
      <c r="AL26" s="60"/>
      <c r="AM26" s="60">
        <v>0</v>
      </c>
      <c r="AN26" s="60">
        <v>0</v>
      </c>
      <c r="AO26" s="60">
        <v>0</v>
      </c>
      <c r="AP26" s="60">
        <f>AJ26+AM26+AN26+AO26</f>
        <v>21034.9</v>
      </c>
      <c r="AQ26" s="60">
        <v>125974</v>
      </c>
      <c r="AR26" s="60"/>
      <c r="AS26" s="60"/>
      <c r="AT26" s="60">
        <v>0</v>
      </c>
      <c r="AU26" s="60">
        <v>0</v>
      </c>
      <c r="AV26" s="60">
        <v>0</v>
      </c>
      <c r="AW26" s="60">
        <f t="shared" ref="AW26:AW33" si="28">AQ26+AS26+AU26+AV26</f>
        <v>125974</v>
      </c>
      <c r="AX26" s="60">
        <v>135948.79999999999</v>
      </c>
      <c r="AY26" s="60"/>
      <c r="AZ26" s="60"/>
      <c r="BA26" s="60">
        <v>0</v>
      </c>
      <c r="BB26" s="60">
        <v>0</v>
      </c>
      <c r="BC26" s="60">
        <v>0</v>
      </c>
      <c r="BD26" s="116">
        <f>AX26</f>
        <v>135948.79999999999</v>
      </c>
      <c r="BE26" s="131">
        <v>64076.2</v>
      </c>
      <c r="BF26" s="64"/>
      <c r="BG26" s="64"/>
      <c r="BH26" s="64">
        <v>0</v>
      </c>
      <c r="BI26" s="64">
        <v>0</v>
      </c>
      <c r="BJ26" s="64">
        <v>0</v>
      </c>
      <c r="BK26" s="148">
        <f t="shared" si="24"/>
        <v>64076.2</v>
      </c>
      <c r="BL26" s="129">
        <v>36649.1</v>
      </c>
      <c r="BM26" s="95"/>
      <c r="BN26" s="95"/>
      <c r="BO26" s="95"/>
      <c r="BP26" s="95"/>
      <c r="BQ26" s="95"/>
      <c r="BR26" s="168">
        <f t="shared" si="27"/>
        <v>36649.1</v>
      </c>
      <c r="BS26" s="129">
        <v>24661.1</v>
      </c>
      <c r="BT26" s="95"/>
      <c r="BU26" s="95"/>
      <c r="BV26" s="95"/>
      <c r="BW26" s="95"/>
      <c r="BX26" s="95"/>
      <c r="BY26" s="95"/>
      <c r="BZ26" s="98">
        <f t="shared" si="25"/>
        <v>24661.1</v>
      </c>
      <c r="CA26" s="185">
        <v>24661.1</v>
      </c>
      <c r="CB26" s="95"/>
      <c r="CC26" s="95"/>
      <c r="CD26" s="95"/>
      <c r="CE26" s="95"/>
      <c r="CF26" s="95"/>
      <c r="CG26" s="95"/>
      <c r="CH26" s="168">
        <f t="shared" si="26"/>
        <v>24661.1</v>
      </c>
      <c r="CI26" s="129">
        <v>24661.1</v>
      </c>
      <c r="CJ26" s="95"/>
      <c r="CK26" s="95"/>
      <c r="CL26" s="95"/>
      <c r="CM26" s="95"/>
      <c r="CN26" s="95"/>
      <c r="CO26" s="95"/>
      <c r="CP26" s="98">
        <f t="shared" si="14"/>
        <v>24661.1</v>
      </c>
    </row>
    <row r="27" spans="1:94" s="55" customFormat="1" ht="70.5" customHeight="1">
      <c r="A27" s="25" t="s">
        <v>40</v>
      </c>
      <c r="B27" s="27" t="s">
        <v>35</v>
      </c>
      <c r="C27" s="8" t="s">
        <v>155</v>
      </c>
      <c r="D27" s="23" t="s">
        <v>101</v>
      </c>
      <c r="E27" s="96">
        <f t="shared" si="5"/>
        <v>541233.5</v>
      </c>
      <c r="F27" s="75">
        <f t="shared" si="6"/>
        <v>675056.5</v>
      </c>
      <c r="G27" s="75">
        <f t="shared" si="7"/>
        <v>1216290</v>
      </c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>
        <f>V28</f>
        <v>0</v>
      </c>
      <c r="W27" s="60">
        <f t="shared" ref="W27:W29" si="29">X27+Y27</f>
        <v>93539.7</v>
      </c>
      <c r="X27" s="60">
        <f>SUM(X28:X28)</f>
        <v>93539.7</v>
      </c>
      <c r="Y27" s="60">
        <f>SUM(Y28:Y28)</f>
        <v>0</v>
      </c>
      <c r="Z27" s="60">
        <f>SUM(Z28:Z28)</f>
        <v>828.7</v>
      </c>
      <c r="AA27" s="60"/>
      <c r="AB27" s="60">
        <f t="shared" ref="AB27:AB28" si="30">V27+W27+Z27+AA27</f>
        <v>94368.4</v>
      </c>
      <c r="AC27" s="60">
        <f>AC28</f>
        <v>0</v>
      </c>
      <c r="AD27" s="60">
        <f t="shared" ref="AD27:AD32" si="31">AE27+AF27</f>
        <v>99006.7</v>
      </c>
      <c r="AE27" s="60">
        <f>SUM(AE28:AE28)</f>
        <v>99006.7</v>
      </c>
      <c r="AF27" s="60">
        <f>SUM(AF28:AF28)</f>
        <v>0</v>
      </c>
      <c r="AG27" s="60">
        <f>AG28</f>
        <v>662.6</v>
      </c>
      <c r="AH27" s="60"/>
      <c r="AI27" s="60">
        <f t="shared" ref="AI27:AI28" si="32">AC27+AD27+AG27+AH27</f>
        <v>99669.3</v>
      </c>
      <c r="AJ27" s="60">
        <f>AJ28</f>
        <v>0</v>
      </c>
      <c r="AK27" s="60">
        <f t="shared" ref="AK27:AK33" si="33">AL27+AM27</f>
        <v>105168.5</v>
      </c>
      <c r="AL27" s="60">
        <f>SUM(AL28:AL28)</f>
        <v>105168.5</v>
      </c>
      <c r="AM27" s="60">
        <f>SUM(AM28:AM28)</f>
        <v>0</v>
      </c>
      <c r="AN27" s="60"/>
      <c r="AO27" s="60"/>
      <c r="AP27" s="60">
        <f t="shared" ref="AP27" si="34">AJ27+AK27+AN27+AO27</f>
        <v>105168.5</v>
      </c>
      <c r="AQ27" s="60">
        <v>0</v>
      </c>
      <c r="AR27" s="60"/>
      <c r="AS27" s="60">
        <v>119217</v>
      </c>
      <c r="AT27" s="60">
        <f>SUM(AT28:AT28)</f>
        <v>0</v>
      </c>
      <c r="AU27" s="60"/>
      <c r="AV27" s="60"/>
      <c r="AW27" s="60">
        <f t="shared" si="28"/>
        <v>119217</v>
      </c>
      <c r="AX27" s="60">
        <v>0</v>
      </c>
      <c r="AY27" s="60"/>
      <c r="AZ27" s="60">
        <v>126304.3</v>
      </c>
      <c r="BA27" s="60">
        <v>0</v>
      </c>
      <c r="BB27" s="60"/>
      <c r="BC27" s="60"/>
      <c r="BD27" s="116">
        <f t="shared" si="22"/>
        <v>126304.3</v>
      </c>
      <c r="BE27" s="131">
        <v>0</v>
      </c>
      <c r="BF27" s="64"/>
      <c r="BG27" s="64">
        <f>BG28</f>
        <v>130329</v>
      </c>
      <c r="BH27" s="64">
        <v>0</v>
      </c>
      <c r="BI27" s="64"/>
      <c r="BJ27" s="64"/>
      <c r="BK27" s="148">
        <f t="shared" si="24"/>
        <v>130329</v>
      </c>
      <c r="BL27" s="129">
        <v>0</v>
      </c>
      <c r="BM27" s="95"/>
      <c r="BN27" s="64">
        <v>132505.79999999999</v>
      </c>
      <c r="BO27" s="95"/>
      <c r="BP27" s="95"/>
      <c r="BQ27" s="95"/>
      <c r="BR27" s="168">
        <f>BQ27+BN27+BL27</f>
        <v>132505.79999999999</v>
      </c>
      <c r="BS27" s="129">
        <v>0</v>
      </c>
      <c r="BT27" s="95"/>
      <c r="BU27" s="95"/>
      <c r="BV27" s="95"/>
      <c r="BW27" s="64">
        <v>136241.1</v>
      </c>
      <c r="BX27" s="64"/>
      <c r="BY27" s="95"/>
      <c r="BZ27" s="98">
        <f t="shared" si="25"/>
        <v>136241.1</v>
      </c>
      <c r="CA27" s="185">
        <v>0</v>
      </c>
      <c r="CB27" s="95"/>
      <c r="CC27" s="95"/>
      <c r="CD27" s="95"/>
      <c r="CE27" s="64">
        <v>136243.29999999999</v>
      </c>
      <c r="CF27" s="64"/>
      <c r="CG27" s="95"/>
      <c r="CH27" s="168">
        <f t="shared" si="26"/>
        <v>136243.29999999999</v>
      </c>
      <c r="CI27" s="129">
        <v>0</v>
      </c>
      <c r="CJ27" s="95"/>
      <c r="CK27" s="95"/>
      <c r="CL27" s="95"/>
      <c r="CM27" s="64">
        <v>136243.29999999999</v>
      </c>
      <c r="CN27" s="64"/>
      <c r="CO27" s="95"/>
      <c r="CP27" s="98">
        <f t="shared" si="14"/>
        <v>136243.29999999999</v>
      </c>
    </row>
    <row r="28" spans="1:94" s="5" customFormat="1" ht="76.5" customHeight="1">
      <c r="A28" s="18" t="s">
        <v>145</v>
      </c>
      <c r="B28" s="11" t="s">
        <v>36</v>
      </c>
      <c r="C28" s="10" t="s">
        <v>155</v>
      </c>
      <c r="D28" s="14" t="s">
        <v>100</v>
      </c>
      <c r="E28" s="96">
        <f t="shared" si="5"/>
        <v>541235.69999999995</v>
      </c>
      <c r="F28" s="75">
        <f t="shared" si="6"/>
        <v>675056.5</v>
      </c>
      <c r="G28" s="75">
        <f t="shared" si="7"/>
        <v>1216292.2000000002</v>
      </c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>
        <f t="shared" si="29"/>
        <v>93539.7</v>
      </c>
      <c r="X28" s="58">
        <f>88980.6+1358.7+100+3100.4</f>
        <v>93539.7</v>
      </c>
      <c r="Y28" s="58"/>
      <c r="Z28" s="58">
        <v>828.7</v>
      </c>
      <c r="AA28" s="58"/>
      <c r="AB28" s="58">
        <f t="shared" si="30"/>
        <v>94368.4</v>
      </c>
      <c r="AC28" s="58"/>
      <c r="AD28" s="58">
        <f t="shared" si="31"/>
        <v>99006.7</v>
      </c>
      <c r="AE28" s="58">
        <v>99006.7</v>
      </c>
      <c r="AF28" s="58"/>
      <c r="AG28" s="58">
        <v>662.6</v>
      </c>
      <c r="AH28" s="58"/>
      <c r="AI28" s="58">
        <f t="shared" si="32"/>
        <v>99669.3</v>
      </c>
      <c r="AJ28" s="58"/>
      <c r="AK28" s="58">
        <f t="shared" si="33"/>
        <v>105168.5</v>
      </c>
      <c r="AL28" s="58">
        <v>105168.5</v>
      </c>
      <c r="AM28" s="58"/>
      <c r="AN28" s="58"/>
      <c r="AO28" s="58"/>
      <c r="AP28" s="58">
        <f>AJ28+AK28+AN28+AO28</f>
        <v>105168.5</v>
      </c>
      <c r="AQ28" s="58"/>
      <c r="AR28" s="58"/>
      <c r="AS28" s="58">
        <v>119217</v>
      </c>
      <c r="AT28" s="58"/>
      <c r="AU28" s="58"/>
      <c r="AV28" s="58"/>
      <c r="AW28" s="58">
        <f t="shared" si="28"/>
        <v>119217</v>
      </c>
      <c r="AX28" s="58"/>
      <c r="AY28" s="58"/>
      <c r="AZ28" s="58">
        <v>126304.3</v>
      </c>
      <c r="BA28" s="58"/>
      <c r="BB28" s="58"/>
      <c r="BC28" s="58"/>
      <c r="BD28" s="117">
        <v>126304.3</v>
      </c>
      <c r="BE28" s="138"/>
      <c r="BF28" s="65"/>
      <c r="BG28" s="65">
        <v>130329</v>
      </c>
      <c r="BH28" s="65"/>
      <c r="BI28" s="65"/>
      <c r="BJ28" s="65"/>
      <c r="BK28" s="149">
        <f t="shared" si="24"/>
        <v>130329</v>
      </c>
      <c r="BL28" s="130"/>
      <c r="BM28" s="94"/>
      <c r="BN28" s="65">
        <v>132505.79999999999</v>
      </c>
      <c r="BO28" s="94"/>
      <c r="BP28" s="94"/>
      <c r="BQ28" s="94"/>
      <c r="BR28" s="115">
        <f t="shared" ref="BR28:BR30" si="35">BQ28+BN28+BL28</f>
        <v>132505.79999999999</v>
      </c>
      <c r="BS28" s="130"/>
      <c r="BT28" s="94"/>
      <c r="BU28" s="94"/>
      <c r="BV28" s="94"/>
      <c r="BW28" s="65">
        <v>136243.29999999999</v>
      </c>
      <c r="BX28" s="65"/>
      <c r="BY28" s="94"/>
      <c r="BZ28" s="107">
        <f t="shared" si="25"/>
        <v>136243.29999999999</v>
      </c>
      <c r="CA28" s="186"/>
      <c r="CB28" s="94"/>
      <c r="CC28" s="94"/>
      <c r="CD28" s="94"/>
      <c r="CE28" s="65">
        <v>136243.29999999999</v>
      </c>
      <c r="CF28" s="65"/>
      <c r="CG28" s="94"/>
      <c r="CH28" s="115">
        <f t="shared" si="26"/>
        <v>136243.29999999999</v>
      </c>
      <c r="CI28" s="130"/>
      <c r="CJ28" s="94"/>
      <c r="CK28" s="94"/>
      <c r="CL28" s="94"/>
      <c r="CM28" s="65">
        <v>136243.29999999999</v>
      </c>
      <c r="CN28" s="65"/>
      <c r="CO28" s="94"/>
      <c r="CP28" s="107">
        <f t="shared" si="14"/>
        <v>136243.29999999999</v>
      </c>
    </row>
    <row r="29" spans="1:94" s="5" customFormat="1" ht="70.5" customHeight="1">
      <c r="A29" s="25" t="s">
        <v>41</v>
      </c>
      <c r="B29" s="9" t="s">
        <v>105</v>
      </c>
      <c r="C29" s="8" t="s">
        <v>155</v>
      </c>
      <c r="D29" s="23" t="s">
        <v>67</v>
      </c>
      <c r="E29" s="96">
        <f t="shared" si="5"/>
        <v>20264.300000000003</v>
      </c>
      <c r="F29" s="75">
        <f t="shared" si="6"/>
        <v>215290.59999999998</v>
      </c>
      <c r="G29" s="75">
        <f t="shared" si="7"/>
        <v>235554.89999999997</v>
      </c>
      <c r="H29" s="60"/>
      <c r="I29" s="60"/>
      <c r="J29" s="60"/>
      <c r="K29" s="60"/>
      <c r="L29" s="60"/>
      <c r="M29" s="60"/>
      <c r="N29" s="60">
        <v>10208.4</v>
      </c>
      <c r="O29" s="60"/>
      <c r="P29" s="60"/>
      <c r="Q29" s="60"/>
      <c r="R29" s="60"/>
      <c r="S29" s="60"/>
      <c r="T29" s="60"/>
      <c r="U29" s="60">
        <v>1160</v>
      </c>
      <c r="V29" s="60"/>
      <c r="W29" s="60">
        <f t="shared" si="29"/>
        <v>400</v>
      </c>
      <c r="X29" s="60">
        <v>400</v>
      </c>
      <c r="Y29" s="60"/>
      <c r="Z29" s="60"/>
      <c r="AA29" s="60"/>
      <c r="AB29" s="60">
        <f>V29+W29+Z29+AA29</f>
        <v>400</v>
      </c>
      <c r="AC29" s="60"/>
      <c r="AD29" s="60">
        <f t="shared" si="31"/>
        <v>5489.1</v>
      </c>
      <c r="AE29" s="60">
        <v>5489.1</v>
      </c>
      <c r="AF29" s="60"/>
      <c r="AG29" s="60"/>
      <c r="AH29" s="60"/>
      <c r="AI29" s="60">
        <f>AC29+AD29</f>
        <v>5489.1</v>
      </c>
      <c r="AJ29" s="60"/>
      <c r="AK29" s="60">
        <f t="shared" si="33"/>
        <v>46786.7</v>
      </c>
      <c r="AL29" s="60">
        <f>5700+41086.7</f>
        <v>46786.7</v>
      </c>
      <c r="AM29" s="60"/>
      <c r="AN29" s="60"/>
      <c r="AO29" s="60"/>
      <c r="AP29" s="60">
        <f>AJ29+AK29+AN29+AO29</f>
        <v>46786.7</v>
      </c>
      <c r="AQ29" s="60">
        <v>12200.7</v>
      </c>
      <c r="AR29" s="60"/>
      <c r="AS29" s="60">
        <v>34158.199999999997</v>
      </c>
      <c r="AT29" s="60"/>
      <c r="AU29" s="60"/>
      <c r="AV29" s="60"/>
      <c r="AW29" s="60">
        <f t="shared" si="28"/>
        <v>46358.899999999994</v>
      </c>
      <c r="AX29" s="60">
        <v>25887.3</v>
      </c>
      <c r="AY29" s="60"/>
      <c r="AZ29" s="60">
        <v>13462.4</v>
      </c>
      <c r="BA29" s="60"/>
      <c r="BB29" s="60"/>
      <c r="BC29" s="60"/>
      <c r="BD29" s="116">
        <f>AX29+AZ29</f>
        <v>39349.699999999997</v>
      </c>
      <c r="BE29" s="131">
        <v>53970</v>
      </c>
      <c r="BF29" s="64"/>
      <c r="BG29" s="64">
        <v>11567.8</v>
      </c>
      <c r="BH29" s="64"/>
      <c r="BI29" s="64"/>
      <c r="BJ29" s="64"/>
      <c r="BK29" s="148">
        <f t="shared" si="24"/>
        <v>65537.8</v>
      </c>
      <c r="BL29" s="131">
        <v>1746.6</v>
      </c>
      <c r="BM29" s="64"/>
      <c r="BN29" s="64">
        <v>12540.5</v>
      </c>
      <c r="BO29" s="95"/>
      <c r="BP29" s="95"/>
      <c r="BQ29" s="95"/>
      <c r="BR29" s="168">
        <f t="shared" si="35"/>
        <v>14287.1</v>
      </c>
      <c r="BS29" s="131">
        <v>1096.8</v>
      </c>
      <c r="BT29" s="64"/>
      <c r="BU29" s="64">
        <v>2885.6</v>
      </c>
      <c r="BV29" s="95"/>
      <c r="BW29" s="95">
        <v>895.6</v>
      </c>
      <c r="BX29" s="95"/>
      <c r="BY29" s="95"/>
      <c r="BZ29" s="98">
        <f>BY29+BW29+BS29</f>
        <v>1992.4</v>
      </c>
      <c r="CA29" s="187">
        <v>1096.8</v>
      </c>
      <c r="CB29" s="64"/>
      <c r="CC29" s="64">
        <v>2885.6</v>
      </c>
      <c r="CD29" s="64"/>
      <c r="CE29" s="64">
        <v>895.6</v>
      </c>
      <c r="CF29" s="64"/>
      <c r="CG29" s="95"/>
      <c r="CH29" s="168">
        <f>CA29+CE29+CG29</f>
        <v>1992.4</v>
      </c>
      <c r="CI29" s="131">
        <v>1096.8</v>
      </c>
      <c r="CJ29" s="64"/>
      <c r="CK29" s="64">
        <v>2885.6</v>
      </c>
      <c r="CL29" s="64"/>
      <c r="CM29" s="64">
        <v>895.6</v>
      </c>
      <c r="CN29" s="64"/>
      <c r="CO29" s="95"/>
      <c r="CP29" s="98">
        <f>CI29+CM29+CO29</f>
        <v>1992.4</v>
      </c>
    </row>
    <row r="30" spans="1:94" s="5" customFormat="1" ht="66" customHeight="1">
      <c r="A30" s="25" t="s">
        <v>64</v>
      </c>
      <c r="B30" s="13" t="s">
        <v>114</v>
      </c>
      <c r="C30" s="8" t="s">
        <v>169</v>
      </c>
      <c r="D30" s="23" t="s">
        <v>115</v>
      </c>
      <c r="E30" s="96">
        <f t="shared" si="5"/>
        <v>28572.7</v>
      </c>
      <c r="F30" s="75">
        <f t="shared" si="6"/>
        <v>133358.70000000001</v>
      </c>
      <c r="G30" s="75">
        <f t="shared" si="7"/>
        <v>161931.40000000002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>
        <v>0</v>
      </c>
      <c r="AR30" s="60"/>
      <c r="AS30" s="60">
        <v>0</v>
      </c>
      <c r="AT30" s="60"/>
      <c r="AU30" s="60"/>
      <c r="AV30" s="60"/>
      <c r="AW30" s="60">
        <f t="shared" si="28"/>
        <v>0</v>
      </c>
      <c r="AX30" s="60">
        <v>0</v>
      </c>
      <c r="AY30" s="60"/>
      <c r="AZ30" s="60">
        <v>84545.9</v>
      </c>
      <c r="BA30" s="60"/>
      <c r="BB30" s="60"/>
      <c r="BC30" s="60"/>
      <c r="BD30" s="116">
        <f>AZ30</f>
        <v>84545.9</v>
      </c>
      <c r="BE30" s="131">
        <v>0</v>
      </c>
      <c r="BF30" s="64"/>
      <c r="BG30" s="64">
        <v>48812.800000000003</v>
      </c>
      <c r="BH30" s="64"/>
      <c r="BI30" s="64"/>
      <c r="BJ30" s="64"/>
      <c r="BK30" s="148">
        <f t="shared" si="24"/>
        <v>48812.800000000003</v>
      </c>
      <c r="BL30" s="131">
        <v>0</v>
      </c>
      <c r="BM30" s="64"/>
      <c r="BN30" s="64">
        <v>28572.7</v>
      </c>
      <c r="BO30" s="95"/>
      <c r="BP30" s="95"/>
      <c r="BQ30" s="95"/>
      <c r="BR30" s="168">
        <f t="shared" si="35"/>
        <v>28572.7</v>
      </c>
      <c r="BS30" s="131">
        <v>0</v>
      </c>
      <c r="BT30" s="64"/>
      <c r="BU30" s="64">
        <v>10000</v>
      </c>
      <c r="BV30" s="95"/>
      <c r="BW30" s="95">
        <v>0</v>
      </c>
      <c r="BX30" s="95"/>
      <c r="BY30" s="95"/>
      <c r="BZ30" s="98">
        <f>BY30+BW30+BS30</f>
        <v>0</v>
      </c>
      <c r="CA30" s="187">
        <v>0</v>
      </c>
      <c r="CB30" s="64"/>
      <c r="CC30" s="64"/>
      <c r="CD30" s="64"/>
      <c r="CE30" s="64">
        <v>0</v>
      </c>
      <c r="CF30" s="64"/>
      <c r="CG30" s="95"/>
      <c r="CH30" s="168">
        <f>CA30+CC30+CE30+CG30</f>
        <v>0</v>
      </c>
      <c r="CI30" s="131">
        <v>0</v>
      </c>
      <c r="CJ30" s="64"/>
      <c r="CK30" s="64"/>
      <c r="CL30" s="64"/>
      <c r="CM30" s="64"/>
      <c r="CN30" s="64"/>
      <c r="CO30" s="95"/>
      <c r="CP30" s="98">
        <f>CI30+CK30+CM30+CO30</f>
        <v>0</v>
      </c>
    </row>
    <row r="31" spans="1:94" ht="78" hidden="1" customHeight="1">
      <c r="A31" s="25">
        <v>2</v>
      </c>
      <c r="B31" s="13" t="s">
        <v>82</v>
      </c>
      <c r="C31" s="8" t="s">
        <v>141</v>
      </c>
      <c r="D31" s="23" t="s">
        <v>46</v>
      </c>
      <c r="E31" s="75">
        <f t="shared" si="5"/>
        <v>0</v>
      </c>
      <c r="F31" s="75">
        <f t="shared" si="6"/>
        <v>135620.19999999998</v>
      </c>
      <c r="G31" s="75">
        <f t="shared" si="7"/>
        <v>135620.19999999998</v>
      </c>
      <c r="H31" s="60"/>
      <c r="I31" s="60">
        <v>21800</v>
      </c>
      <c r="J31" s="60">
        <v>21800</v>
      </c>
      <c r="K31" s="60"/>
      <c r="L31" s="60"/>
      <c r="M31" s="60"/>
      <c r="N31" s="60">
        <v>21800</v>
      </c>
      <c r="O31" s="60">
        <v>0</v>
      </c>
      <c r="P31" s="60">
        <v>21717.9</v>
      </c>
      <c r="Q31" s="60">
        <v>21717.9</v>
      </c>
      <c r="R31" s="60"/>
      <c r="S31" s="60">
        <v>0</v>
      </c>
      <c r="T31" s="60">
        <v>0</v>
      </c>
      <c r="U31" s="60">
        <v>21717.9</v>
      </c>
      <c r="V31" s="60">
        <f>SUM(V32:V32)</f>
        <v>0</v>
      </c>
      <c r="W31" s="60">
        <f>X31+Y31</f>
        <v>30405.1</v>
      </c>
      <c r="X31" s="60">
        <f>X32+X33</f>
        <v>30405.1</v>
      </c>
      <c r="Y31" s="60">
        <f>SUM(Y32:Y32)</f>
        <v>0</v>
      </c>
      <c r="Z31" s="60">
        <f>SUM(Z32:Z32)</f>
        <v>0</v>
      </c>
      <c r="AA31" s="60">
        <f>SUM(AA32:AA32)</f>
        <v>0</v>
      </c>
      <c r="AB31" s="60">
        <f t="shared" ref="AB31:AB32" si="36">V31+W31+Z31+AA31</f>
        <v>30405.1</v>
      </c>
      <c r="AC31" s="60">
        <f>SUM(AC32:AC32)</f>
        <v>0</v>
      </c>
      <c r="AD31" s="60">
        <f t="shared" si="31"/>
        <v>5260.5</v>
      </c>
      <c r="AE31" s="60">
        <v>5260.5</v>
      </c>
      <c r="AF31" s="60">
        <f>SUM(AF32:AF32)</f>
        <v>0</v>
      </c>
      <c r="AG31" s="60">
        <f>SUM(AG32:AG32)</f>
        <v>0</v>
      </c>
      <c r="AH31" s="60">
        <f>SUM(AH32:AH32)</f>
        <v>0</v>
      </c>
      <c r="AI31" s="60">
        <f t="shared" ref="AI31:AI33" si="37">AC31+AD31+AG31+AH31</f>
        <v>5260.5</v>
      </c>
      <c r="AJ31" s="60">
        <f>AJ32+AJ33</f>
        <v>0</v>
      </c>
      <c r="AK31" s="60">
        <f t="shared" si="33"/>
        <v>17730</v>
      </c>
      <c r="AL31" s="60">
        <f>AL32+AL33</f>
        <v>17730</v>
      </c>
      <c r="AM31" s="60">
        <f>SUM(AM32:AM32)</f>
        <v>0</v>
      </c>
      <c r="AN31" s="60">
        <f>SUM(AN32:AN32)</f>
        <v>0</v>
      </c>
      <c r="AO31" s="60">
        <f>SUM(AO32:AO32)</f>
        <v>0</v>
      </c>
      <c r="AP31" s="60">
        <f t="shared" ref="AP31:AP33" si="38">AJ31+AK31+AN31+AO31</f>
        <v>17730</v>
      </c>
      <c r="AQ31" s="60">
        <f>SUM(AQ32:AQ32)</f>
        <v>0</v>
      </c>
      <c r="AR31" s="60"/>
      <c r="AS31" s="60">
        <f>AS32+AS33</f>
        <v>38706.699999999997</v>
      </c>
      <c r="AT31" s="60">
        <f>SUM(AT32:AT32)</f>
        <v>0</v>
      </c>
      <c r="AU31" s="60">
        <f>SUM(AU32:AU32)</f>
        <v>0</v>
      </c>
      <c r="AV31" s="60">
        <f>SUM(AV32:AV32)</f>
        <v>0</v>
      </c>
      <c r="AW31" s="60">
        <f t="shared" si="28"/>
        <v>38706.699999999997</v>
      </c>
      <c r="AX31" s="60">
        <v>0</v>
      </c>
      <c r="AY31" s="60"/>
      <c r="AZ31" s="60">
        <v>0</v>
      </c>
      <c r="BA31" s="60">
        <v>0</v>
      </c>
      <c r="BB31" s="60">
        <v>0</v>
      </c>
      <c r="BC31" s="60">
        <v>0</v>
      </c>
      <c r="BD31" s="116">
        <v>0</v>
      </c>
      <c r="BE31" s="144">
        <v>0</v>
      </c>
      <c r="BF31" s="60"/>
      <c r="BG31" s="60">
        <v>0</v>
      </c>
      <c r="BH31" s="60">
        <v>0</v>
      </c>
      <c r="BI31" s="60">
        <v>0</v>
      </c>
      <c r="BJ31" s="60">
        <v>0</v>
      </c>
      <c r="BK31" s="61">
        <v>0</v>
      </c>
      <c r="BL31" s="144">
        <v>0</v>
      </c>
      <c r="BM31" s="60"/>
      <c r="BN31" s="60">
        <v>0</v>
      </c>
      <c r="BO31" s="60">
        <v>0</v>
      </c>
      <c r="BP31" s="60">
        <v>0</v>
      </c>
      <c r="BQ31" s="60">
        <v>0</v>
      </c>
      <c r="BR31" s="116">
        <v>0</v>
      </c>
      <c r="BS31" s="144">
        <v>0</v>
      </c>
      <c r="BT31" s="60"/>
      <c r="BU31" s="60"/>
      <c r="BV31" s="60">
        <f>SUM(BV32:BV32)</f>
        <v>0</v>
      </c>
      <c r="BW31" s="60">
        <v>0</v>
      </c>
      <c r="BX31" s="60"/>
      <c r="BY31" s="60">
        <f>SUM(BY32:BY32)</f>
        <v>0</v>
      </c>
      <c r="BZ31" s="61">
        <f t="shared" si="25"/>
        <v>0</v>
      </c>
      <c r="CA31" s="188">
        <v>0</v>
      </c>
      <c r="CB31" s="66"/>
      <c r="CC31" s="66"/>
      <c r="CD31" s="66">
        <f>SUM(CD32:CD32)</f>
        <v>0</v>
      </c>
      <c r="CE31" s="66">
        <v>0</v>
      </c>
      <c r="CF31" s="66"/>
      <c r="CG31" s="66">
        <f>SUM(CG32:CG32)</f>
        <v>0</v>
      </c>
      <c r="CH31" s="169">
        <f t="shared" ref="CH31:CH33" si="39">CA31+CC31+CE31+CG31</f>
        <v>0</v>
      </c>
      <c r="CI31" s="132">
        <v>0</v>
      </c>
      <c r="CJ31" s="66"/>
      <c r="CK31" s="66"/>
      <c r="CL31" s="66">
        <f>SUM(CL32:CL32)</f>
        <v>0</v>
      </c>
      <c r="CM31" s="66">
        <v>0</v>
      </c>
      <c r="CN31" s="66"/>
      <c r="CO31" s="66">
        <f>SUM(CO32:CO32)</f>
        <v>0</v>
      </c>
      <c r="CP31" s="67">
        <f>CI31+CK31+CM31+CO31</f>
        <v>0</v>
      </c>
    </row>
    <row r="32" spans="1:94" ht="58.5" hidden="1" customHeight="1">
      <c r="A32" s="18" t="s">
        <v>42</v>
      </c>
      <c r="B32" s="29" t="s">
        <v>48</v>
      </c>
      <c r="C32" s="10" t="s">
        <v>141</v>
      </c>
      <c r="D32" s="14" t="s">
        <v>45</v>
      </c>
      <c r="E32" s="75">
        <f t="shared" si="5"/>
        <v>0</v>
      </c>
      <c r="F32" s="75">
        <f t="shared" si="6"/>
        <v>29942.5</v>
      </c>
      <c r="G32" s="75">
        <f t="shared" si="7"/>
        <v>29942.5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>
        <f>X32+Y32</f>
        <v>10000</v>
      </c>
      <c r="X32" s="58">
        <f>5000+5000</f>
        <v>10000</v>
      </c>
      <c r="Y32" s="58"/>
      <c r="Z32" s="58"/>
      <c r="AA32" s="58"/>
      <c r="AB32" s="58">
        <f t="shared" si="36"/>
        <v>10000</v>
      </c>
      <c r="AC32" s="58"/>
      <c r="AD32" s="58">
        <f t="shared" si="31"/>
        <v>4260.5</v>
      </c>
      <c r="AE32" s="58">
        <v>4260.5</v>
      </c>
      <c r="AF32" s="58"/>
      <c r="AG32" s="58"/>
      <c r="AH32" s="58"/>
      <c r="AI32" s="58">
        <f t="shared" si="37"/>
        <v>4260.5</v>
      </c>
      <c r="AJ32" s="58"/>
      <c r="AK32" s="58">
        <f t="shared" si="33"/>
        <v>8491</v>
      </c>
      <c r="AL32" s="58">
        <v>8491</v>
      </c>
      <c r="AM32" s="58"/>
      <c r="AN32" s="58"/>
      <c r="AO32" s="58"/>
      <c r="AP32" s="58">
        <f t="shared" si="38"/>
        <v>8491</v>
      </c>
      <c r="AQ32" s="58"/>
      <c r="AR32" s="58"/>
      <c r="AS32" s="58">
        <v>7191</v>
      </c>
      <c r="AT32" s="58"/>
      <c r="AU32" s="58"/>
      <c r="AV32" s="58"/>
      <c r="AW32" s="58">
        <f t="shared" si="28"/>
        <v>7191</v>
      </c>
      <c r="AX32" s="58"/>
      <c r="AY32" s="58"/>
      <c r="AZ32" s="58">
        <v>0</v>
      </c>
      <c r="BA32" s="58"/>
      <c r="BB32" s="58"/>
      <c r="BC32" s="58"/>
      <c r="BD32" s="117">
        <v>0</v>
      </c>
      <c r="BE32" s="145"/>
      <c r="BF32" s="58"/>
      <c r="BG32" s="58">
        <v>0</v>
      </c>
      <c r="BH32" s="58"/>
      <c r="BI32" s="58"/>
      <c r="BJ32" s="58"/>
      <c r="BK32" s="59">
        <v>0</v>
      </c>
      <c r="BL32" s="145"/>
      <c r="BM32" s="58"/>
      <c r="BN32" s="58">
        <v>0</v>
      </c>
      <c r="BO32" s="58"/>
      <c r="BP32" s="58"/>
      <c r="BQ32" s="58"/>
      <c r="BR32" s="117">
        <v>0</v>
      </c>
      <c r="BS32" s="145"/>
      <c r="BT32" s="58"/>
      <c r="BU32" s="58"/>
      <c r="BV32" s="58"/>
      <c r="BW32" s="58">
        <v>0</v>
      </c>
      <c r="BX32" s="58"/>
      <c r="BY32" s="58"/>
      <c r="BZ32" s="59">
        <f t="shared" si="25"/>
        <v>0</v>
      </c>
      <c r="CA32" s="189"/>
      <c r="CB32" s="68"/>
      <c r="CC32" s="68"/>
      <c r="CD32" s="68"/>
      <c r="CE32" s="68">
        <v>0</v>
      </c>
      <c r="CF32" s="68"/>
      <c r="CG32" s="68"/>
      <c r="CH32" s="170">
        <f t="shared" si="39"/>
        <v>0</v>
      </c>
      <c r="CI32" s="133"/>
      <c r="CJ32" s="68"/>
      <c r="CK32" s="68"/>
      <c r="CL32" s="68"/>
      <c r="CM32" s="68">
        <v>0</v>
      </c>
      <c r="CN32" s="68"/>
      <c r="CO32" s="68"/>
      <c r="CP32" s="69">
        <f>CI32+CK32+CM32+CO32</f>
        <v>0</v>
      </c>
    </row>
    <row r="33" spans="1:94" ht="58.5" hidden="1" customHeight="1">
      <c r="A33" s="18" t="s">
        <v>43</v>
      </c>
      <c r="B33" s="29" t="s">
        <v>87</v>
      </c>
      <c r="C33" s="10" t="s">
        <v>141</v>
      </c>
      <c r="D33" s="14" t="s">
        <v>88</v>
      </c>
      <c r="E33" s="75">
        <f t="shared" si="5"/>
        <v>0</v>
      </c>
      <c r="F33" s="75">
        <f t="shared" si="6"/>
        <v>61159.8</v>
      </c>
      <c r="G33" s="75">
        <f t="shared" si="7"/>
        <v>61159.8</v>
      </c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>
        <f>X33+Y33</f>
        <v>20405.099999999999</v>
      </c>
      <c r="X33" s="58">
        <v>20405.099999999999</v>
      </c>
      <c r="Y33" s="58"/>
      <c r="Z33" s="58"/>
      <c r="AA33" s="58"/>
      <c r="AB33" s="58">
        <f>V33+W33+Z33+AA33</f>
        <v>20405.099999999999</v>
      </c>
      <c r="AC33" s="58"/>
      <c r="AD33" s="58">
        <f>AE33+AF33</f>
        <v>0</v>
      </c>
      <c r="AE33" s="58"/>
      <c r="AF33" s="58"/>
      <c r="AG33" s="58"/>
      <c r="AH33" s="58"/>
      <c r="AI33" s="58">
        <f t="shared" si="37"/>
        <v>0</v>
      </c>
      <c r="AJ33" s="58"/>
      <c r="AK33" s="58">
        <f t="shared" si="33"/>
        <v>9239</v>
      </c>
      <c r="AL33" s="58">
        <f>3702.5+5536.5</f>
        <v>9239</v>
      </c>
      <c r="AM33" s="58"/>
      <c r="AN33" s="58"/>
      <c r="AO33" s="58"/>
      <c r="AP33" s="58">
        <f t="shared" si="38"/>
        <v>9239</v>
      </c>
      <c r="AQ33" s="58"/>
      <c r="AR33" s="58"/>
      <c r="AS33" s="58">
        <v>31515.7</v>
      </c>
      <c r="AT33" s="58"/>
      <c r="AU33" s="58"/>
      <c r="AV33" s="58"/>
      <c r="AW33" s="58">
        <f t="shared" si="28"/>
        <v>31515.7</v>
      </c>
      <c r="AX33" s="58"/>
      <c r="AY33" s="58"/>
      <c r="AZ33" s="58">
        <v>0</v>
      </c>
      <c r="BA33" s="58"/>
      <c r="BB33" s="58"/>
      <c r="BC33" s="58"/>
      <c r="BD33" s="117">
        <v>0</v>
      </c>
      <c r="BE33" s="145"/>
      <c r="BF33" s="58"/>
      <c r="BG33" s="58">
        <v>0</v>
      </c>
      <c r="BH33" s="58"/>
      <c r="BI33" s="58"/>
      <c r="BJ33" s="58"/>
      <c r="BK33" s="59">
        <v>0</v>
      </c>
      <c r="BL33" s="145"/>
      <c r="BM33" s="58"/>
      <c r="BN33" s="58">
        <v>0</v>
      </c>
      <c r="BO33" s="58"/>
      <c r="BP33" s="58"/>
      <c r="BQ33" s="58"/>
      <c r="BR33" s="117">
        <v>0</v>
      </c>
      <c r="BS33" s="145"/>
      <c r="BT33" s="58"/>
      <c r="BU33" s="58"/>
      <c r="BV33" s="58"/>
      <c r="BW33" s="58">
        <v>0</v>
      </c>
      <c r="BX33" s="58"/>
      <c r="BY33" s="58"/>
      <c r="BZ33" s="59">
        <f t="shared" si="25"/>
        <v>0</v>
      </c>
      <c r="CA33" s="189"/>
      <c r="CB33" s="68"/>
      <c r="CC33" s="68"/>
      <c r="CD33" s="68"/>
      <c r="CE33" s="68">
        <v>0</v>
      </c>
      <c r="CF33" s="68"/>
      <c r="CG33" s="68"/>
      <c r="CH33" s="170">
        <f t="shared" si="39"/>
        <v>0</v>
      </c>
      <c r="CI33" s="133"/>
      <c r="CJ33" s="68"/>
      <c r="CK33" s="68"/>
      <c r="CL33" s="68"/>
      <c r="CM33" s="68">
        <v>0</v>
      </c>
      <c r="CN33" s="68"/>
      <c r="CO33" s="68"/>
      <c r="CP33" s="69">
        <f>CI33+CK33+CM33+CO33</f>
        <v>0</v>
      </c>
    </row>
    <row r="34" spans="1:94" s="83" customFormat="1" ht="79.5" customHeight="1">
      <c r="A34" s="78">
        <v>2</v>
      </c>
      <c r="B34" s="79" t="s">
        <v>81</v>
      </c>
      <c r="C34" s="73" t="s">
        <v>170</v>
      </c>
      <c r="D34" s="80" t="s">
        <v>19</v>
      </c>
      <c r="E34" s="75">
        <f t="shared" si="5"/>
        <v>6956115.6160000004</v>
      </c>
      <c r="F34" s="75">
        <f>AW34+AB34+AI34+AP34+U34+N34+BD34+BK34</f>
        <v>8824645.0999999996</v>
      </c>
      <c r="G34" s="75">
        <f t="shared" si="7"/>
        <v>15780760.716</v>
      </c>
      <c r="H34" s="81">
        <f>SUM(H35:H38)</f>
        <v>633590.4</v>
      </c>
      <c r="I34" s="81"/>
      <c r="J34" s="81"/>
      <c r="K34" s="81"/>
      <c r="L34" s="81"/>
      <c r="M34" s="81"/>
      <c r="N34" s="81">
        <f>H34+I34+L34+M34</f>
        <v>633590.4</v>
      </c>
      <c r="O34" s="81">
        <v>625162.30000000005</v>
      </c>
      <c r="P34" s="81"/>
      <c r="Q34" s="81"/>
      <c r="R34" s="81"/>
      <c r="S34" s="81"/>
      <c r="T34" s="81"/>
      <c r="U34" s="81">
        <f>O34+P34+S34+T34</f>
        <v>625162.30000000005</v>
      </c>
      <c r="V34" s="81">
        <f>SUM(V35:V38)</f>
        <v>777370</v>
      </c>
      <c r="W34" s="81"/>
      <c r="X34" s="81"/>
      <c r="Y34" s="81"/>
      <c r="Z34" s="81"/>
      <c r="AA34" s="81"/>
      <c r="AB34" s="81">
        <f>V34+Y34+Z34+AA34</f>
        <v>777370</v>
      </c>
      <c r="AC34" s="81">
        <f>SUM(AC35:AC38)</f>
        <v>873369</v>
      </c>
      <c r="AD34" s="81"/>
      <c r="AE34" s="81"/>
      <c r="AF34" s="81"/>
      <c r="AG34" s="81"/>
      <c r="AH34" s="81"/>
      <c r="AI34" s="81">
        <f>AC34+AF34+AG34+AH34</f>
        <v>873369</v>
      </c>
      <c r="AJ34" s="81">
        <f>SUM(AJ35:AJ43)</f>
        <v>1317414.3</v>
      </c>
      <c r="AK34" s="81"/>
      <c r="AL34" s="81"/>
      <c r="AM34" s="81"/>
      <c r="AN34" s="81"/>
      <c r="AO34" s="81"/>
      <c r="AP34" s="81">
        <f>AJ34+AM34+AN34+AO34</f>
        <v>1317414.3</v>
      </c>
      <c r="AQ34" s="81">
        <f>SUM(AQ35:AR46)</f>
        <v>1578646.8</v>
      </c>
      <c r="AR34" s="81"/>
      <c r="AS34" s="81"/>
      <c r="AT34" s="81"/>
      <c r="AU34" s="81"/>
      <c r="AV34" s="81"/>
      <c r="AW34" s="81">
        <f>AQ34+AT34+AU34+AV34</f>
        <v>1578646.8</v>
      </c>
      <c r="AX34" s="81">
        <f>SUM(AX35:AY46)</f>
        <v>1389861.8</v>
      </c>
      <c r="AY34" s="81"/>
      <c r="AZ34" s="81"/>
      <c r="BA34" s="81"/>
      <c r="BB34" s="81"/>
      <c r="BC34" s="81"/>
      <c r="BD34" s="118">
        <f>AX34+BA34+BB34+BC34</f>
        <v>1389861.8</v>
      </c>
      <c r="BE34" s="134">
        <f>SUM(BE35:BE46)</f>
        <v>1629230.5000000002</v>
      </c>
      <c r="BF34" s="81"/>
      <c r="BG34" s="81"/>
      <c r="BH34" s="81"/>
      <c r="BI34" s="81"/>
      <c r="BJ34" s="81"/>
      <c r="BK34" s="82">
        <f>BE34+BH34+BI34+BJ34</f>
        <v>1629230.5000000002</v>
      </c>
      <c r="BL34" s="134">
        <f>SUM(BL35:BL46)</f>
        <v>1497036.5040000002</v>
      </c>
      <c r="BM34" s="81"/>
      <c r="BN34" s="81"/>
      <c r="BO34" s="81"/>
      <c r="BP34" s="81">
        <f>SUM(BP35,BP36,BP37,BP38,BP41,BP43,BP44,BP45)</f>
        <v>28332.9</v>
      </c>
      <c r="BQ34" s="81"/>
      <c r="BR34" s="118">
        <f>SUM(BL34,BN34,BP34,BQ34)</f>
        <v>1525369.4040000001</v>
      </c>
      <c r="BS34" s="134">
        <f>SUM(BS35,BS36,BS37,BS38,BS41,BS43,BS44,BS45)</f>
        <v>1530315.8040000002</v>
      </c>
      <c r="BT34" s="81"/>
      <c r="BU34" s="81"/>
      <c r="BV34" s="81"/>
      <c r="BW34" s="81"/>
      <c r="BX34" s="81">
        <f>SUM(BX35,BX36,BX37,BX38,BX41,BX43,BX44,BX45)</f>
        <v>29049.5</v>
      </c>
      <c r="BY34" s="81"/>
      <c r="BZ34" s="82">
        <f>SUM(BS34,BW34,BX34,BY34)</f>
        <v>1559365.3040000002</v>
      </c>
      <c r="CA34" s="190">
        <f>CA35+CA36+CA37+CA38+CA41+CA43+CA44+CA45</f>
        <v>1856530.2040000001</v>
      </c>
      <c r="CB34" s="81"/>
      <c r="CC34" s="81"/>
      <c r="CD34" s="81"/>
      <c r="CE34" s="81"/>
      <c r="CF34" s="81">
        <f>SUM(CF35,CF36,CF37,CF38,CF41,CF43,CF44,CF45)</f>
        <v>29049.5</v>
      </c>
      <c r="CG34" s="81"/>
      <c r="CH34" s="118">
        <f>CA34+CE34+CG34+CF34</f>
        <v>1885579.7040000001</v>
      </c>
      <c r="CI34" s="134">
        <f>CI35+CI36+CI37+CI38+CI41+CI43+CI44+CI45</f>
        <v>1956751.7040000001</v>
      </c>
      <c r="CJ34" s="81"/>
      <c r="CK34" s="81"/>
      <c r="CL34" s="81"/>
      <c r="CM34" s="81"/>
      <c r="CN34" s="81">
        <f>SUM(CN35,CN36,CN37,CN38,CN41,CN43,CN44,CN45)</f>
        <v>29049.5</v>
      </c>
      <c r="CO34" s="81"/>
      <c r="CP34" s="82">
        <f>CI34+CM34+CO34+CN34</f>
        <v>1985801.2040000001</v>
      </c>
    </row>
    <row r="35" spans="1:94" ht="60.75" customHeight="1">
      <c r="A35" s="17" t="s">
        <v>130</v>
      </c>
      <c r="B35" s="11" t="s">
        <v>11</v>
      </c>
      <c r="C35" s="10" t="s">
        <v>152</v>
      </c>
      <c r="D35" s="14" t="s">
        <v>47</v>
      </c>
      <c r="E35" s="96">
        <f t="shared" si="5"/>
        <v>136051.5</v>
      </c>
      <c r="F35" s="75">
        <f t="shared" si="6"/>
        <v>101325.4</v>
      </c>
      <c r="G35" s="75">
        <f t="shared" si="7"/>
        <v>237376.89999999997</v>
      </c>
      <c r="H35" s="97">
        <f>3790.9-1043</f>
        <v>2747.9</v>
      </c>
      <c r="I35" s="97"/>
      <c r="J35" s="97"/>
      <c r="K35" s="97"/>
      <c r="L35" s="97"/>
      <c r="M35" s="97"/>
      <c r="N35" s="94">
        <f t="shared" ref="N35:N38" si="40">H35+I35+L35+M35</f>
        <v>2747.9</v>
      </c>
      <c r="O35" s="97">
        <v>3272.1</v>
      </c>
      <c r="P35" s="97"/>
      <c r="Q35" s="97"/>
      <c r="R35" s="97"/>
      <c r="S35" s="97"/>
      <c r="T35" s="97"/>
      <c r="U35" s="94">
        <f t="shared" ref="U35:U38" si="41">O35+P35+S35+T35</f>
        <v>3272.1</v>
      </c>
      <c r="V35" s="94">
        <f>3313-3313+3314.4</f>
        <v>3314.4</v>
      </c>
      <c r="W35" s="97"/>
      <c r="X35" s="97"/>
      <c r="Y35" s="97"/>
      <c r="Z35" s="97"/>
      <c r="AA35" s="97"/>
      <c r="AB35" s="94">
        <f t="shared" ref="AB35:AB38" si="42">V35+Y35+Z35+AA35</f>
        <v>3314.4</v>
      </c>
      <c r="AC35" s="94">
        <v>3712.1</v>
      </c>
      <c r="AD35" s="97"/>
      <c r="AE35" s="97"/>
      <c r="AF35" s="97"/>
      <c r="AG35" s="97"/>
      <c r="AH35" s="97"/>
      <c r="AI35" s="94">
        <f t="shared" ref="AI35:AI38" si="43">AC35+AF35+AG35+AH35</f>
        <v>3712.1</v>
      </c>
      <c r="AJ35" s="94">
        <v>4506.7</v>
      </c>
      <c r="AK35" s="97"/>
      <c r="AL35" s="97"/>
      <c r="AM35" s="97"/>
      <c r="AN35" s="97"/>
      <c r="AO35" s="97"/>
      <c r="AP35" s="94">
        <f t="shared" ref="AP35:AP42" si="44">AJ35+AM35+AN35+AO35</f>
        <v>4506.7</v>
      </c>
      <c r="AQ35" s="94">
        <f>5031.8+370.8+17706.5</f>
        <v>23109.1</v>
      </c>
      <c r="AR35" s="97"/>
      <c r="AS35" s="97"/>
      <c r="AT35" s="97"/>
      <c r="AU35" s="97"/>
      <c r="AV35" s="97"/>
      <c r="AW35" s="94">
        <f t="shared" ref="AW35:AW46" si="45">AQ35+AT35+AU35+AV35</f>
        <v>23109.1</v>
      </c>
      <c r="AX35" s="94">
        <v>31005</v>
      </c>
      <c r="AY35" s="97"/>
      <c r="AZ35" s="97"/>
      <c r="BA35" s="97"/>
      <c r="BB35" s="97"/>
      <c r="BC35" s="97"/>
      <c r="BD35" s="115">
        <f t="shared" ref="BD35:BD40" si="46">AX35+BA35+BB35+BC35</f>
        <v>31005</v>
      </c>
      <c r="BE35" s="130">
        <v>29658.1</v>
      </c>
      <c r="BF35" s="97"/>
      <c r="BG35" s="97"/>
      <c r="BH35" s="97"/>
      <c r="BI35" s="97"/>
      <c r="BJ35" s="97"/>
      <c r="BK35" s="148">
        <f t="shared" ref="BK35:BK46" si="47">SUM(BE35:BJ35)</f>
        <v>29658.1</v>
      </c>
      <c r="BL35" s="135">
        <v>31088.1</v>
      </c>
      <c r="BM35" s="97"/>
      <c r="BN35" s="97"/>
      <c r="BO35" s="97"/>
      <c r="BP35" s="97"/>
      <c r="BQ35" s="97"/>
      <c r="BR35" s="168">
        <f>SUM(BL35:BQ35)</f>
        <v>31088.1</v>
      </c>
      <c r="BS35" s="135">
        <v>34987.800000000003</v>
      </c>
      <c r="BT35" s="97"/>
      <c r="BU35" s="97"/>
      <c r="BV35" s="97"/>
      <c r="BW35" s="97"/>
      <c r="BX35" s="97"/>
      <c r="BY35" s="97"/>
      <c r="BZ35" s="98">
        <f t="shared" ref="BZ35" si="48">SUM(BS35:BY35)</f>
        <v>34987.800000000003</v>
      </c>
      <c r="CA35" s="191">
        <v>34987.800000000003</v>
      </c>
      <c r="CB35" s="97"/>
      <c r="CC35" s="97"/>
      <c r="CD35" s="97"/>
      <c r="CE35" s="97"/>
      <c r="CF35" s="97"/>
      <c r="CG35" s="97"/>
      <c r="CH35" s="168">
        <f t="shared" ref="CH35:CH46" si="49">SUM(CA35:CG35)</f>
        <v>34987.800000000003</v>
      </c>
      <c r="CI35" s="135">
        <v>34987.800000000003</v>
      </c>
      <c r="CJ35" s="97"/>
      <c r="CK35" s="97"/>
      <c r="CL35" s="97"/>
      <c r="CM35" s="97"/>
      <c r="CN35" s="97"/>
      <c r="CO35" s="97"/>
      <c r="CP35" s="98">
        <f t="shared" ref="CP35:CP43" si="50">SUM(CI35:CO35)</f>
        <v>34987.800000000003</v>
      </c>
    </row>
    <row r="36" spans="1:94" ht="123.75" customHeight="1">
      <c r="A36" s="17" t="s">
        <v>131</v>
      </c>
      <c r="B36" s="11" t="s">
        <v>137</v>
      </c>
      <c r="C36" s="10" t="s">
        <v>152</v>
      </c>
      <c r="D36" s="109" t="s">
        <v>55</v>
      </c>
      <c r="E36" s="96">
        <f t="shared" si="5"/>
        <v>6285108.3000000007</v>
      </c>
      <c r="F36" s="75">
        <f t="shared" si="6"/>
        <v>7713583.7999999998</v>
      </c>
      <c r="G36" s="75">
        <f t="shared" si="7"/>
        <v>13998692.1</v>
      </c>
      <c r="H36" s="97">
        <v>628800</v>
      </c>
      <c r="I36" s="97"/>
      <c r="J36" s="97"/>
      <c r="K36" s="97"/>
      <c r="L36" s="97"/>
      <c r="M36" s="97"/>
      <c r="N36" s="94">
        <f t="shared" si="40"/>
        <v>628800</v>
      </c>
      <c r="O36" s="97">
        <v>612000</v>
      </c>
      <c r="P36" s="97"/>
      <c r="Q36" s="97"/>
      <c r="R36" s="97"/>
      <c r="S36" s="97"/>
      <c r="T36" s="97"/>
      <c r="U36" s="94">
        <f t="shared" si="41"/>
        <v>612000</v>
      </c>
      <c r="V36" s="94">
        <v>769897.5</v>
      </c>
      <c r="W36" s="97"/>
      <c r="X36" s="97"/>
      <c r="Y36" s="97"/>
      <c r="Z36" s="97"/>
      <c r="AA36" s="97"/>
      <c r="AB36" s="94">
        <f t="shared" si="42"/>
        <v>769897.5</v>
      </c>
      <c r="AC36" s="94">
        <v>865876</v>
      </c>
      <c r="AD36" s="97"/>
      <c r="AE36" s="97"/>
      <c r="AF36" s="97"/>
      <c r="AG36" s="97"/>
      <c r="AH36" s="97"/>
      <c r="AI36" s="94">
        <f t="shared" si="43"/>
        <v>865876</v>
      </c>
      <c r="AJ36" s="94">
        <v>961549.4</v>
      </c>
      <c r="AK36" s="97"/>
      <c r="AL36" s="97"/>
      <c r="AM36" s="97"/>
      <c r="AN36" s="97"/>
      <c r="AO36" s="97"/>
      <c r="AP36" s="94">
        <f t="shared" si="44"/>
        <v>961549.4</v>
      </c>
      <c r="AQ36" s="94">
        <f>1151339+221406-262589.9</f>
        <v>1110155.1000000001</v>
      </c>
      <c r="AR36" s="97"/>
      <c r="AS36" s="97"/>
      <c r="AT36" s="97"/>
      <c r="AU36" s="97"/>
      <c r="AV36" s="97"/>
      <c r="AW36" s="94">
        <f t="shared" si="45"/>
        <v>1110155.1000000001</v>
      </c>
      <c r="AX36" s="94">
        <f>984220.4+277074.7</f>
        <v>1261295.1000000001</v>
      </c>
      <c r="AY36" s="97"/>
      <c r="AZ36" s="97"/>
      <c r="BA36" s="97"/>
      <c r="BB36" s="97"/>
      <c r="BC36" s="97"/>
      <c r="BD36" s="115">
        <f t="shared" si="46"/>
        <v>1261295.1000000001</v>
      </c>
      <c r="BE36" s="130">
        <f>1120190.2+383820.5</f>
        <v>1504010.7</v>
      </c>
      <c r="BF36" s="97"/>
      <c r="BG36" s="97"/>
      <c r="BH36" s="97"/>
      <c r="BI36" s="97"/>
      <c r="BJ36" s="97"/>
      <c r="BK36" s="148">
        <f t="shared" si="47"/>
        <v>1504010.7</v>
      </c>
      <c r="BL36" s="130">
        <v>1337913.8999999999</v>
      </c>
      <c r="BM36" s="97"/>
      <c r="BN36" s="97"/>
      <c r="BO36" s="97"/>
      <c r="BP36" s="97"/>
      <c r="BQ36" s="97"/>
      <c r="BR36" s="168">
        <f t="shared" ref="BR36:BR45" si="51">SUM(BL36:BQ36)</f>
        <v>1337913.8999999999</v>
      </c>
      <c r="BS36" s="130">
        <v>1370060</v>
      </c>
      <c r="BT36" s="97"/>
      <c r="BU36" s="97"/>
      <c r="BV36" s="97"/>
      <c r="BW36" s="97"/>
      <c r="BX36" s="97"/>
      <c r="BY36" s="97"/>
      <c r="BZ36" s="98">
        <f t="shared" ref="BZ36:BZ46" si="52">SUM(BS36:BY36)</f>
        <v>1370060</v>
      </c>
      <c r="CA36" s="186">
        <v>1696274.4</v>
      </c>
      <c r="CB36" s="97"/>
      <c r="CC36" s="97"/>
      <c r="CD36" s="97"/>
      <c r="CE36" s="97"/>
      <c r="CF36" s="97"/>
      <c r="CG36" s="97"/>
      <c r="CH36" s="168">
        <f t="shared" si="49"/>
        <v>1696274.4</v>
      </c>
      <c r="CI36" s="130">
        <v>1880860</v>
      </c>
      <c r="CJ36" s="97"/>
      <c r="CK36" s="97"/>
      <c r="CL36" s="97"/>
      <c r="CM36" s="97"/>
      <c r="CN36" s="97"/>
      <c r="CO36" s="97"/>
      <c r="CP36" s="98">
        <f t="shared" si="50"/>
        <v>1880860</v>
      </c>
    </row>
    <row r="37" spans="1:94" ht="59.25" customHeight="1">
      <c r="A37" s="17" t="s">
        <v>132</v>
      </c>
      <c r="B37" s="11" t="s">
        <v>13</v>
      </c>
      <c r="C37" s="10" t="s">
        <v>152</v>
      </c>
      <c r="D37" s="108" t="s">
        <v>20</v>
      </c>
      <c r="E37" s="96">
        <f t="shared" si="5"/>
        <v>18960.099999999999</v>
      </c>
      <c r="F37" s="75">
        <f t="shared" si="6"/>
        <v>31235.599999999999</v>
      </c>
      <c r="G37" s="75">
        <f t="shared" si="7"/>
        <v>50195.7</v>
      </c>
      <c r="H37" s="97">
        <v>2042.5</v>
      </c>
      <c r="I37" s="97"/>
      <c r="J37" s="97"/>
      <c r="K37" s="97"/>
      <c r="L37" s="97"/>
      <c r="M37" s="97"/>
      <c r="N37" s="94">
        <f t="shared" si="40"/>
        <v>2042.5</v>
      </c>
      <c r="O37" s="97">
        <f>4930-280.7</f>
        <v>4649.3</v>
      </c>
      <c r="P37" s="97"/>
      <c r="Q37" s="97"/>
      <c r="R37" s="97"/>
      <c r="S37" s="97"/>
      <c r="T37" s="97"/>
      <c r="U37" s="94">
        <f t="shared" si="41"/>
        <v>4649.3</v>
      </c>
      <c r="V37" s="94">
        <f>4584-425.9</f>
        <v>4158.1000000000004</v>
      </c>
      <c r="W37" s="97"/>
      <c r="X37" s="97"/>
      <c r="Y37" s="97"/>
      <c r="Z37" s="97"/>
      <c r="AA37" s="97"/>
      <c r="AB37" s="94">
        <f t="shared" si="42"/>
        <v>4158.1000000000004</v>
      </c>
      <c r="AC37" s="94">
        <v>3780.9</v>
      </c>
      <c r="AD37" s="97"/>
      <c r="AE37" s="97"/>
      <c r="AF37" s="97"/>
      <c r="AG37" s="97"/>
      <c r="AH37" s="97"/>
      <c r="AI37" s="94">
        <f t="shared" si="43"/>
        <v>3780.9</v>
      </c>
      <c r="AJ37" s="94">
        <v>4644.8</v>
      </c>
      <c r="AK37" s="97"/>
      <c r="AL37" s="97"/>
      <c r="AM37" s="97"/>
      <c r="AN37" s="97"/>
      <c r="AO37" s="97"/>
      <c r="AP37" s="94">
        <f t="shared" si="44"/>
        <v>4644.8</v>
      </c>
      <c r="AQ37" s="94">
        <v>4850</v>
      </c>
      <c r="AR37" s="97"/>
      <c r="AS37" s="97"/>
      <c r="AT37" s="97"/>
      <c r="AU37" s="97"/>
      <c r="AV37" s="97"/>
      <c r="AW37" s="94">
        <f t="shared" si="45"/>
        <v>4850</v>
      </c>
      <c r="AX37" s="94">
        <v>4740</v>
      </c>
      <c r="AY37" s="97"/>
      <c r="AZ37" s="97"/>
      <c r="BA37" s="97"/>
      <c r="BB37" s="97"/>
      <c r="BC37" s="97"/>
      <c r="BD37" s="115">
        <f t="shared" si="46"/>
        <v>4740</v>
      </c>
      <c r="BE37" s="130">
        <v>2370</v>
      </c>
      <c r="BF37" s="97"/>
      <c r="BG37" s="97"/>
      <c r="BH37" s="97"/>
      <c r="BI37" s="97"/>
      <c r="BJ37" s="97"/>
      <c r="BK37" s="148">
        <f t="shared" si="47"/>
        <v>2370</v>
      </c>
      <c r="BL37" s="130">
        <v>4740.1000000000004</v>
      </c>
      <c r="BM37" s="97"/>
      <c r="BN37" s="97"/>
      <c r="BO37" s="97"/>
      <c r="BP37" s="97"/>
      <c r="BQ37" s="97"/>
      <c r="BR37" s="168">
        <f t="shared" si="51"/>
        <v>4740.1000000000004</v>
      </c>
      <c r="BS37" s="130">
        <v>4740</v>
      </c>
      <c r="BT37" s="97"/>
      <c r="BU37" s="97"/>
      <c r="BV37" s="97"/>
      <c r="BW37" s="97"/>
      <c r="BX37" s="97"/>
      <c r="BY37" s="97"/>
      <c r="BZ37" s="98">
        <f>BS37+BW37+BX37+BY37</f>
        <v>4740</v>
      </c>
      <c r="CA37" s="186">
        <v>4740</v>
      </c>
      <c r="CB37" s="97"/>
      <c r="CC37" s="97"/>
      <c r="CD37" s="97"/>
      <c r="CE37" s="97"/>
      <c r="CF37" s="97"/>
      <c r="CG37" s="97"/>
      <c r="CH37" s="168">
        <f t="shared" si="49"/>
        <v>4740</v>
      </c>
      <c r="CI37" s="130">
        <v>4740</v>
      </c>
      <c r="CJ37" s="97"/>
      <c r="CK37" s="97"/>
      <c r="CL37" s="97"/>
      <c r="CM37" s="97"/>
      <c r="CN37" s="97"/>
      <c r="CO37" s="97"/>
      <c r="CP37" s="98">
        <f t="shared" si="50"/>
        <v>4740</v>
      </c>
    </row>
    <row r="38" spans="1:94" ht="117" customHeight="1">
      <c r="A38" s="17" t="s">
        <v>133</v>
      </c>
      <c r="B38" s="11" t="s">
        <v>59</v>
      </c>
      <c r="C38" s="10" t="s">
        <v>152</v>
      </c>
      <c r="D38" s="108" t="s">
        <v>60</v>
      </c>
      <c r="E38" s="96">
        <f t="shared" si="5"/>
        <v>1.6E-2</v>
      </c>
      <c r="F38" s="75">
        <f t="shared" si="6"/>
        <v>0</v>
      </c>
      <c r="G38" s="75">
        <f t="shared" si="7"/>
        <v>1.6E-2</v>
      </c>
      <c r="H38" s="99"/>
      <c r="I38" s="99"/>
      <c r="J38" s="99"/>
      <c r="K38" s="99"/>
      <c r="L38" s="99"/>
      <c r="M38" s="99"/>
      <c r="N38" s="100">
        <f t="shared" si="40"/>
        <v>0</v>
      </c>
      <c r="O38" s="99"/>
      <c r="P38" s="99"/>
      <c r="Q38" s="99"/>
      <c r="R38" s="99"/>
      <c r="S38" s="99"/>
      <c r="T38" s="99"/>
      <c r="U38" s="100">
        <f t="shared" si="41"/>
        <v>0</v>
      </c>
      <c r="V38" s="99">
        <v>0</v>
      </c>
      <c r="W38" s="99"/>
      <c r="X38" s="99"/>
      <c r="Y38" s="99"/>
      <c r="Z38" s="99"/>
      <c r="AA38" s="99"/>
      <c r="AB38" s="100">
        <f t="shared" si="42"/>
        <v>0</v>
      </c>
      <c r="AC38" s="99">
        <v>0</v>
      </c>
      <c r="AD38" s="99"/>
      <c r="AE38" s="99"/>
      <c r="AF38" s="99"/>
      <c r="AG38" s="99"/>
      <c r="AH38" s="99"/>
      <c r="AI38" s="100">
        <f t="shared" si="43"/>
        <v>0</v>
      </c>
      <c r="AJ38" s="99">
        <v>0</v>
      </c>
      <c r="AK38" s="99"/>
      <c r="AL38" s="99"/>
      <c r="AM38" s="99"/>
      <c r="AN38" s="99"/>
      <c r="AO38" s="99"/>
      <c r="AP38" s="100">
        <f t="shared" si="44"/>
        <v>0</v>
      </c>
      <c r="AQ38" s="99">
        <v>0</v>
      </c>
      <c r="AR38" s="99"/>
      <c r="AS38" s="99"/>
      <c r="AT38" s="99"/>
      <c r="AU38" s="99"/>
      <c r="AV38" s="99"/>
      <c r="AW38" s="100">
        <f t="shared" si="45"/>
        <v>0</v>
      </c>
      <c r="AX38" s="99">
        <v>0</v>
      </c>
      <c r="AY38" s="99"/>
      <c r="AZ38" s="99"/>
      <c r="BA38" s="99"/>
      <c r="BB38" s="99"/>
      <c r="BC38" s="99"/>
      <c r="BD38" s="123">
        <f t="shared" si="46"/>
        <v>0</v>
      </c>
      <c r="BE38" s="147">
        <v>0</v>
      </c>
      <c r="BF38" s="99"/>
      <c r="BG38" s="99"/>
      <c r="BH38" s="99"/>
      <c r="BI38" s="99"/>
      <c r="BJ38" s="99"/>
      <c r="BK38" s="150">
        <f>SUM(BE38:BJ38)</f>
        <v>0</v>
      </c>
      <c r="BL38" s="207">
        <v>4.0000000000000001E-3</v>
      </c>
      <c r="BM38" s="99"/>
      <c r="BN38" s="99"/>
      <c r="BO38" s="99"/>
      <c r="BP38" s="99"/>
      <c r="BQ38" s="99"/>
      <c r="BR38" s="168">
        <f t="shared" si="51"/>
        <v>4.0000000000000001E-3</v>
      </c>
      <c r="BS38" s="207">
        <v>4.0000000000000001E-3</v>
      </c>
      <c r="BT38" s="99"/>
      <c r="BU38" s="99"/>
      <c r="BV38" s="99"/>
      <c r="BW38" s="99"/>
      <c r="BX38" s="99"/>
      <c r="BY38" s="99"/>
      <c r="BZ38" s="98">
        <f t="shared" si="52"/>
        <v>4.0000000000000001E-3</v>
      </c>
      <c r="CA38" s="208">
        <v>4.0000000000000001E-3</v>
      </c>
      <c r="CB38" s="99"/>
      <c r="CC38" s="99"/>
      <c r="CD38" s="99"/>
      <c r="CE38" s="101"/>
      <c r="CF38" s="101"/>
      <c r="CG38" s="99"/>
      <c r="CH38" s="168">
        <f t="shared" si="49"/>
        <v>4.0000000000000001E-3</v>
      </c>
      <c r="CI38" s="207">
        <v>4.0000000000000001E-3</v>
      </c>
      <c r="CJ38" s="99"/>
      <c r="CK38" s="99"/>
      <c r="CL38" s="99"/>
      <c r="CM38" s="101"/>
      <c r="CN38" s="101"/>
      <c r="CO38" s="99"/>
      <c r="CP38" s="98">
        <f t="shared" si="50"/>
        <v>4.0000000000000001E-3</v>
      </c>
    </row>
    <row r="39" spans="1:94" s="5" customFormat="1" ht="58.5" hidden="1" customHeight="1">
      <c r="A39" s="17" t="s">
        <v>91</v>
      </c>
      <c r="B39" s="11" t="s">
        <v>108</v>
      </c>
      <c r="C39" s="10" t="s">
        <v>142</v>
      </c>
      <c r="D39" s="108" t="s">
        <v>95</v>
      </c>
      <c r="E39" s="96">
        <f t="shared" si="5"/>
        <v>0</v>
      </c>
      <c r="F39" s="75">
        <f t="shared" si="6"/>
        <v>5100</v>
      </c>
      <c r="G39" s="75">
        <f t="shared" si="7"/>
        <v>5100</v>
      </c>
      <c r="H39" s="102"/>
      <c r="I39" s="102"/>
      <c r="J39" s="102"/>
      <c r="K39" s="102"/>
      <c r="L39" s="102"/>
      <c r="M39" s="102"/>
      <c r="N39" s="103"/>
      <c r="O39" s="102"/>
      <c r="P39" s="102"/>
      <c r="Q39" s="102"/>
      <c r="R39" s="102"/>
      <c r="S39" s="102"/>
      <c r="T39" s="102"/>
      <c r="U39" s="103"/>
      <c r="V39" s="102"/>
      <c r="W39" s="102"/>
      <c r="X39" s="102"/>
      <c r="Y39" s="102"/>
      <c r="Z39" s="102"/>
      <c r="AA39" s="102"/>
      <c r="AB39" s="103"/>
      <c r="AC39" s="102"/>
      <c r="AD39" s="102"/>
      <c r="AE39" s="102"/>
      <c r="AF39" s="102"/>
      <c r="AG39" s="102"/>
      <c r="AH39" s="102"/>
      <c r="AI39" s="103"/>
      <c r="AJ39" s="102"/>
      <c r="AK39" s="102"/>
      <c r="AL39" s="102"/>
      <c r="AM39" s="102"/>
      <c r="AN39" s="102"/>
      <c r="AO39" s="102"/>
      <c r="AP39" s="103"/>
      <c r="AQ39" s="97">
        <v>5100</v>
      </c>
      <c r="AR39" s="102"/>
      <c r="AS39" s="102"/>
      <c r="AT39" s="102"/>
      <c r="AU39" s="102"/>
      <c r="AV39" s="102"/>
      <c r="AW39" s="94">
        <f t="shared" si="45"/>
        <v>5100</v>
      </c>
      <c r="AX39" s="102"/>
      <c r="AY39" s="102"/>
      <c r="AZ39" s="102"/>
      <c r="BA39" s="102"/>
      <c r="BB39" s="102"/>
      <c r="BC39" s="102"/>
      <c r="BD39" s="124"/>
      <c r="BE39" s="136"/>
      <c r="BF39" s="102"/>
      <c r="BG39" s="102"/>
      <c r="BH39" s="102"/>
      <c r="BI39" s="102"/>
      <c r="BJ39" s="102"/>
      <c r="BK39" s="148">
        <f t="shared" si="47"/>
        <v>0</v>
      </c>
      <c r="BL39" s="136"/>
      <c r="BM39" s="102"/>
      <c r="BN39" s="102"/>
      <c r="BO39" s="102"/>
      <c r="BP39" s="102"/>
      <c r="BQ39" s="102"/>
      <c r="BR39" s="168">
        <f t="shared" si="51"/>
        <v>0</v>
      </c>
      <c r="BS39" s="136"/>
      <c r="BT39" s="102"/>
      <c r="BU39" s="102"/>
      <c r="BV39" s="102"/>
      <c r="BW39" s="102"/>
      <c r="BX39" s="102"/>
      <c r="BY39" s="102"/>
      <c r="BZ39" s="98">
        <f t="shared" si="52"/>
        <v>0</v>
      </c>
      <c r="CA39" s="192"/>
      <c r="CB39" s="102"/>
      <c r="CC39" s="102"/>
      <c r="CD39" s="102"/>
      <c r="CE39" s="102"/>
      <c r="CF39" s="102"/>
      <c r="CG39" s="102"/>
      <c r="CH39" s="168">
        <f t="shared" si="49"/>
        <v>0</v>
      </c>
      <c r="CI39" s="136"/>
      <c r="CJ39" s="102"/>
      <c r="CK39" s="102"/>
      <c r="CL39" s="102"/>
      <c r="CM39" s="102"/>
      <c r="CN39" s="102"/>
      <c r="CO39" s="102"/>
      <c r="CP39" s="98">
        <f t="shared" si="50"/>
        <v>0</v>
      </c>
    </row>
    <row r="40" spans="1:94" ht="14.25" hidden="1" customHeight="1">
      <c r="A40" s="18" t="s">
        <v>102</v>
      </c>
      <c r="B40" s="11" t="s">
        <v>127</v>
      </c>
      <c r="C40" s="10" t="s">
        <v>89</v>
      </c>
      <c r="D40" s="108" t="s">
        <v>90</v>
      </c>
      <c r="E40" s="96">
        <f t="shared" si="5"/>
        <v>0</v>
      </c>
      <c r="F40" s="75">
        <f t="shared" si="6"/>
        <v>327952.2</v>
      </c>
      <c r="G40" s="75">
        <f t="shared" si="7"/>
        <v>327952.2</v>
      </c>
      <c r="H40" s="97"/>
      <c r="I40" s="97"/>
      <c r="J40" s="97"/>
      <c r="K40" s="97"/>
      <c r="L40" s="97"/>
      <c r="M40" s="97"/>
      <c r="N40" s="94"/>
      <c r="O40" s="97"/>
      <c r="P40" s="97"/>
      <c r="Q40" s="97"/>
      <c r="R40" s="97"/>
      <c r="S40" s="97"/>
      <c r="T40" s="97"/>
      <c r="U40" s="94"/>
      <c r="V40" s="97"/>
      <c r="W40" s="97"/>
      <c r="X40" s="97"/>
      <c r="Y40" s="97"/>
      <c r="Z40" s="97"/>
      <c r="AA40" s="97"/>
      <c r="AB40" s="94"/>
      <c r="AC40" s="97"/>
      <c r="AD40" s="97"/>
      <c r="AE40" s="97"/>
      <c r="AF40" s="97"/>
      <c r="AG40" s="97"/>
      <c r="AH40" s="97"/>
      <c r="AI40" s="94"/>
      <c r="AJ40" s="97"/>
      <c r="AK40" s="97"/>
      <c r="AL40" s="97"/>
      <c r="AM40" s="97"/>
      <c r="AN40" s="97"/>
      <c r="AO40" s="97"/>
      <c r="AP40" s="94"/>
      <c r="AQ40" s="97">
        <f>263754+64198.2</f>
        <v>327952.2</v>
      </c>
      <c r="AR40" s="97"/>
      <c r="AS40" s="97"/>
      <c r="AT40" s="97"/>
      <c r="AU40" s="97"/>
      <c r="AV40" s="97"/>
      <c r="AW40" s="94">
        <f t="shared" si="45"/>
        <v>327952.2</v>
      </c>
      <c r="AX40" s="97"/>
      <c r="AY40" s="97"/>
      <c r="AZ40" s="97"/>
      <c r="BA40" s="97"/>
      <c r="BB40" s="97"/>
      <c r="BC40" s="97"/>
      <c r="BD40" s="115">
        <f t="shared" si="46"/>
        <v>0</v>
      </c>
      <c r="BE40" s="135"/>
      <c r="BF40" s="97"/>
      <c r="BG40" s="97"/>
      <c r="BH40" s="97"/>
      <c r="BI40" s="97"/>
      <c r="BJ40" s="97"/>
      <c r="BK40" s="148">
        <f t="shared" si="47"/>
        <v>0</v>
      </c>
      <c r="BL40" s="135"/>
      <c r="BM40" s="97"/>
      <c r="BN40" s="97"/>
      <c r="BO40" s="97"/>
      <c r="BP40" s="97"/>
      <c r="BQ40" s="97"/>
      <c r="BR40" s="168">
        <f t="shared" si="51"/>
        <v>0</v>
      </c>
      <c r="BS40" s="135"/>
      <c r="BT40" s="97"/>
      <c r="BU40" s="97"/>
      <c r="BV40" s="97"/>
      <c r="BW40" s="97"/>
      <c r="BX40" s="97"/>
      <c r="BY40" s="97"/>
      <c r="BZ40" s="98">
        <f t="shared" si="52"/>
        <v>0</v>
      </c>
      <c r="CA40" s="191"/>
      <c r="CB40" s="97"/>
      <c r="CC40" s="97"/>
      <c r="CD40" s="97"/>
      <c r="CE40" s="97"/>
      <c r="CF40" s="97"/>
      <c r="CG40" s="97"/>
      <c r="CH40" s="168">
        <f t="shared" si="49"/>
        <v>0</v>
      </c>
      <c r="CI40" s="135"/>
      <c r="CJ40" s="97"/>
      <c r="CK40" s="97"/>
      <c r="CL40" s="97"/>
      <c r="CM40" s="97"/>
      <c r="CN40" s="97"/>
      <c r="CO40" s="97"/>
      <c r="CP40" s="98">
        <f t="shared" si="50"/>
        <v>0</v>
      </c>
    </row>
    <row r="41" spans="1:94" ht="47.25" customHeight="1">
      <c r="A41" s="18" t="s">
        <v>134</v>
      </c>
      <c r="B41" s="11" t="s">
        <v>124</v>
      </c>
      <c r="C41" s="10" t="s">
        <v>89</v>
      </c>
      <c r="D41" s="108" t="s">
        <v>90</v>
      </c>
      <c r="E41" s="96">
        <f t="shared" si="5"/>
        <v>253092.30000000002</v>
      </c>
      <c r="F41" s="75">
        <f t="shared" si="6"/>
        <v>476441.5</v>
      </c>
      <c r="G41" s="75">
        <f t="shared" si="7"/>
        <v>729533.79999999993</v>
      </c>
      <c r="H41" s="97"/>
      <c r="I41" s="97"/>
      <c r="J41" s="97"/>
      <c r="K41" s="97"/>
      <c r="L41" s="97"/>
      <c r="M41" s="97"/>
      <c r="N41" s="94"/>
      <c r="O41" s="97"/>
      <c r="P41" s="97"/>
      <c r="Q41" s="97"/>
      <c r="R41" s="97"/>
      <c r="S41" s="97"/>
      <c r="T41" s="97"/>
      <c r="U41" s="94"/>
      <c r="V41" s="97"/>
      <c r="W41" s="97"/>
      <c r="X41" s="97"/>
      <c r="Y41" s="97"/>
      <c r="Z41" s="97"/>
      <c r="AA41" s="97"/>
      <c r="AB41" s="94"/>
      <c r="AC41" s="97"/>
      <c r="AD41" s="97"/>
      <c r="AE41" s="97"/>
      <c r="AF41" s="97"/>
      <c r="AG41" s="97"/>
      <c r="AH41" s="97"/>
      <c r="AI41" s="94"/>
      <c r="AJ41" s="97">
        <v>307713.40000000002</v>
      </c>
      <c r="AK41" s="97"/>
      <c r="AL41" s="97"/>
      <c r="AM41" s="97"/>
      <c r="AN41" s="97"/>
      <c r="AO41" s="97"/>
      <c r="AP41" s="94">
        <f t="shared" ref="AP41" si="53">AJ41+AM41+AN41+AO41</f>
        <v>307713.40000000002</v>
      </c>
      <c r="AQ41" s="97"/>
      <c r="AR41" s="97"/>
      <c r="AS41" s="97"/>
      <c r="AT41" s="97"/>
      <c r="AU41" s="97"/>
      <c r="AV41" s="97"/>
      <c r="AW41" s="94">
        <f t="shared" ref="AW41" si="54">AQ41+AT41+AU41+AV41</f>
        <v>0</v>
      </c>
      <c r="AX41" s="97">
        <v>84364</v>
      </c>
      <c r="AY41" s="97"/>
      <c r="AZ41" s="97"/>
      <c r="BA41" s="97"/>
      <c r="BB41" s="97"/>
      <c r="BC41" s="97"/>
      <c r="BD41" s="115">
        <f>AX41+BA41+BB41+BC41</f>
        <v>84364</v>
      </c>
      <c r="BE41" s="135">
        <v>84364.1</v>
      </c>
      <c r="BF41" s="97"/>
      <c r="BG41" s="97"/>
      <c r="BH41" s="97"/>
      <c r="BI41" s="97"/>
      <c r="BJ41" s="97"/>
      <c r="BK41" s="148">
        <f t="shared" si="47"/>
        <v>84364.1</v>
      </c>
      <c r="BL41" s="135">
        <v>84364.1</v>
      </c>
      <c r="BM41" s="97"/>
      <c r="BN41" s="97"/>
      <c r="BO41" s="97"/>
      <c r="BP41" s="97"/>
      <c r="BQ41" s="97"/>
      <c r="BR41" s="168">
        <f t="shared" si="51"/>
        <v>84364.1</v>
      </c>
      <c r="BS41" s="135">
        <v>84364.1</v>
      </c>
      <c r="BT41" s="97"/>
      <c r="BU41" s="97"/>
      <c r="BV41" s="97"/>
      <c r="BW41" s="97"/>
      <c r="BX41" s="97"/>
      <c r="BY41" s="97"/>
      <c r="BZ41" s="98">
        <v>84364.1</v>
      </c>
      <c r="CA41" s="191">
        <v>84364.1</v>
      </c>
      <c r="CB41" s="97"/>
      <c r="CC41" s="97"/>
      <c r="CD41" s="97"/>
      <c r="CE41" s="97"/>
      <c r="CF41" s="97"/>
      <c r="CG41" s="97"/>
      <c r="CH41" s="168">
        <f t="shared" si="49"/>
        <v>84364.1</v>
      </c>
      <c r="CI41" s="135">
        <v>0</v>
      </c>
      <c r="CJ41" s="97"/>
      <c r="CK41" s="97"/>
      <c r="CL41" s="97"/>
      <c r="CM41" s="97"/>
      <c r="CN41" s="97"/>
      <c r="CO41" s="97"/>
      <c r="CP41" s="98">
        <f t="shared" si="50"/>
        <v>0</v>
      </c>
    </row>
    <row r="42" spans="1:94" ht="58.5" hidden="1" customHeight="1">
      <c r="A42" s="18" t="s">
        <v>103</v>
      </c>
      <c r="B42" s="11" t="s">
        <v>93</v>
      </c>
      <c r="C42" s="10" t="s">
        <v>89</v>
      </c>
      <c r="D42" s="108" t="s">
        <v>92</v>
      </c>
      <c r="E42" s="96">
        <f t="shared" si="5"/>
        <v>3557.2</v>
      </c>
      <c r="F42" s="75">
        <f t="shared" si="6"/>
        <v>130000</v>
      </c>
      <c r="G42" s="75">
        <f t="shared" si="7"/>
        <v>133557.20000000001</v>
      </c>
      <c r="H42" s="97"/>
      <c r="I42" s="97"/>
      <c r="J42" s="97"/>
      <c r="K42" s="97"/>
      <c r="L42" s="97"/>
      <c r="M42" s="97"/>
      <c r="N42" s="94"/>
      <c r="O42" s="97"/>
      <c r="P42" s="97"/>
      <c r="Q42" s="97"/>
      <c r="R42" s="97"/>
      <c r="S42" s="97"/>
      <c r="T42" s="97"/>
      <c r="U42" s="94"/>
      <c r="V42" s="97"/>
      <c r="W42" s="97"/>
      <c r="X42" s="97"/>
      <c r="Y42" s="97"/>
      <c r="Z42" s="97"/>
      <c r="AA42" s="97"/>
      <c r="AB42" s="94"/>
      <c r="AC42" s="97"/>
      <c r="AD42" s="97"/>
      <c r="AE42" s="97"/>
      <c r="AF42" s="97"/>
      <c r="AG42" s="97"/>
      <c r="AH42" s="97"/>
      <c r="AI42" s="94"/>
      <c r="AJ42" s="97">
        <v>39000</v>
      </c>
      <c r="AK42" s="97"/>
      <c r="AL42" s="97"/>
      <c r="AM42" s="97"/>
      <c r="AN42" s="97"/>
      <c r="AO42" s="97"/>
      <c r="AP42" s="94">
        <f t="shared" si="44"/>
        <v>39000</v>
      </c>
      <c r="AQ42" s="97">
        <v>91000</v>
      </c>
      <c r="AR42" s="97"/>
      <c r="AS42" s="97"/>
      <c r="AT42" s="97"/>
      <c r="AU42" s="97"/>
      <c r="AV42" s="97"/>
      <c r="AW42" s="94">
        <f t="shared" si="45"/>
        <v>91000</v>
      </c>
      <c r="AX42" s="97"/>
      <c r="AY42" s="97"/>
      <c r="AZ42" s="97"/>
      <c r="BA42" s="97"/>
      <c r="BB42" s="97"/>
      <c r="BC42" s="97"/>
      <c r="BD42" s="115"/>
      <c r="BE42" s="135"/>
      <c r="BF42" s="97"/>
      <c r="BG42" s="97"/>
      <c r="BH42" s="97"/>
      <c r="BI42" s="97"/>
      <c r="BJ42" s="97"/>
      <c r="BK42" s="148">
        <f t="shared" si="47"/>
        <v>0</v>
      </c>
      <c r="BL42" s="135"/>
      <c r="BM42" s="97"/>
      <c r="BN42" s="97"/>
      <c r="BO42" s="97"/>
      <c r="BP42" s="97"/>
      <c r="BQ42" s="97"/>
      <c r="BR42" s="168">
        <f t="shared" si="51"/>
        <v>0</v>
      </c>
      <c r="BS42" s="135"/>
      <c r="BT42" s="97"/>
      <c r="BU42" s="97"/>
      <c r="BV42" s="97"/>
      <c r="BW42" s="97"/>
      <c r="BX42" s="97"/>
      <c r="BY42" s="97"/>
      <c r="BZ42" s="98">
        <f t="shared" si="52"/>
        <v>0</v>
      </c>
      <c r="CA42" s="191">
        <v>3557.2</v>
      </c>
      <c r="CB42" s="97"/>
      <c r="CC42" s="97"/>
      <c r="CD42" s="97"/>
      <c r="CE42" s="97"/>
      <c r="CF42" s="97"/>
      <c r="CG42" s="97"/>
      <c r="CH42" s="168">
        <f t="shared" si="49"/>
        <v>3557.2</v>
      </c>
      <c r="CI42" s="135"/>
      <c r="CJ42" s="97"/>
      <c r="CK42" s="97"/>
      <c r="CL42" s="97"/>
      <c r="CM42" s="97"/>
      <c r="CN42" s="97"/>
      <c r="CO42" s="97"/>
      <c r="CP42" s="98">
        <f t="shared" si="50"/>
        <v>0</v>
      </c>
    </row>
    <row r="43" spans="1:94" ht="69" customHeight="1">
      <c r="A43" s="18" t="s">
        <v>135</v>
      </c>
      <c r="B43" s="11" t="s">
        <v>125</v>
      </c>
      <c r="C43" s="10" t="s">
        <v>152</v>
      </c>
      <c r="D43" s="108" t="s">
        <v>96</v>
      </c>
      <c r="E43" s="96">
        <f t="shared" si="5"/>
        <v>28457.200000000001</v>
      </c>
      <c r="F43" s="75">
        <f t="shared" si="6"/>
        <v>22748.300000000003</v>
      </c>
      <c r="G43" s="75">
        <f t="shared" si="7"/>
        <v>51205.500000000007</v>
      </c>
      <c r="H43" s="97"/>
      <c r="I43" s="97"/>
      <c r="J43" s="97"/>
      <c r="K43" s="97"/>
      <c r="L43" s="97"/>
      <c r="M43" s="97"/>
      <c r="N43" s="94"/>
      <c r="O43" s="97"/>
      <c r="P43" s="97"/>
      <c r="Q43" s="97"/>
      <c r="R43" s="97"/>
      <c r="S43" s="97"/>
      <c r="T43" s="97"/>
      <c r="U43" s="94"/>
      <c r="V43" s="97"/>
      <c r="W43" s="97"/>
      <c r="X43" s="97"/>
      <c r="Y43" s="97"/>
      <c r="Z43" s="97"/>
      <c r="AA43" s="97"/>
      <c r="AB43" s="94"/>
      <c r="AC43" s="97"/>
      <c r="AD43" s="97"/>
      <c r="AE43" s="97"/>
      <c r="AF43" s="97"/>
      <c r="AG43" s="97"/>
      <c r="AH43" s="97"/>
      <c r="AI43" s="94"/>
      <c r="AJ43" s="97"/>
      <c r="AK43" s="97"/>
      <c r="AL43" s="97"/>
      <c r="AM43" s="97"/>
      <c r="AN43" s="97"/>
      <c r="AO43" s="97"/>
      <c r="AP43" s="94"/>
      <c r="AQ43" s="97">
        <v>5463</v>
      </c>
      <c r="AR43" s="97"/>
      <c r="AS43" s="97"/>
      <c r="AT43" s="97"/>
      <c r="AU43" s="97"/>
      <c r="AV43" s="97"/>
      <c r="AW43" s="94">
        <f t="shared" si="45"/>
        <v>5463</v>
      </c>
      <c r="AX43" s="97">
        <f>5463+2994.7</f>
        <v>8457.7000000000007</v>
      </c>
      <c r="AY43" s="97"/>
      <c r="AZ43" s="97"/>
      <c r="BA43" s="97"/>
      <c r="BB43" s="97"/>
      <c r="BC43" s="97"/>
      <c r="BD43" s="125">
        <f>AX43</f>
        <v>8457.7000000000007</v>
      </c>
      <c r="BE43" s="135">
        <f>5463+3364.6</f>
        <v>8827.6</v>
      </c>
      <c r="BF43" s="97"/>
      <c r="BG43" s="97"/>
      <c r="BH43" s="97"/>
      <c r="BI43" s="97"/>
      <c r="BJ43" s="97"/>
      <c r="BK43" s="148">
        <f t="shared" si="47"/>
        <v>8827.6</v>
      </c>
      <c r="BL43" s="135">
        <v>7114.3</v>
      </c>
      <c r="BM43" s="97"/>
      <c r="BN43" s="97"/>
      <c r="BO43" s="97"/>
      <c r="BP43" s="97"/>
      <c r="BQ43" s="97"/>
      <c r="BR43" s="168">
        <f t="shared" si="51"/>
        <v>7114.3</v>
      </c>
      <c r="BS43" s="135">
        <v>7114.3</v>
      </c>
      <c r="BT43" s="97"/>
      <c r="BU43" s="97"/>
      <c r="BV43" s="97"/>
      <c r="BW43" s="97"/>
      <c r="BX43" s="97"/>
      <c r="BY43" s="97"/>
      <c r="BZ43" s="98">
        <f t="shared" si="52"/>
        <v>7114.3</v>
      </c>
      <c r="CA43" s="191">
        <v>7114.3</v>
      </c>
      <c r="CB43" s="97"/>
      <c r="CC43" s="97"/>
      <c r="CD43" s="97"/>
      <c r="CE43" s="97"/>
      <c r="CF43" s="97"/>
      <c r="CG43" s="97"/>
      <c r="CH43" s="168">
        <f t="shared" si="49"/>
        <v>7114.3</v>
      </c>
      <c r="CI43" s="135">
        <v>7114.3</v>
      </c>
      <c r="CJ43" s="97"/>
      <c r="CK43" s="97"/>
      <c r="CL43" s="97"/>
      <c r="CM43" s="97"/>
      <c r="CN43" s="97"/>
      <c r="CO43" s="97"/>
      <c r="CP43" s="98">
        <f t="shared" si="50"/>
        <v>7114.3</v>
      </c>
    </row>
    <row r="44" spans="1:94" ht="135.75" customHeight="1">
      <c r="A44" s="18" t="s">
        <v>146</v>
      </c>
      <c r="B44" s="11" t="s">
        <v>147</v>
      </c>
      <c r="C44" s="10" t="s">
        <v>172</v>
      </c>
      <c r="D44" s="155" t="s">
        <v>148</v>
      </c>
      <c r="E44" s="96">
        <f t="shared" si="5"/>
        <v>3483.1</v>
      </c>
      <c r="F44" s="75">
        <f t="shared" si="6"/>
        <v>0</v>
      </c>
      <c r="G44" s="75">
        <f t="shared" si="7"/>
        <v>3483.1</v>
      </c>
      <c r="H44" s="97"/>
      <c r="I44" s="97"/>
      <c r="J44" s="97"/>
      <c r="K44" s="97"/>
      <c r="L44" s="97"/>
      <c r="M44" s="97"/>
      <c r="N44" s="94"/>
      <c r="O44" s="97"/>
      <c r="P44" s="97"/>
      <c r="Q44" s="97"/>
      <c r="R44" s="97"/>
      <c r="S44" s="97"/>
      <c r="T44" s="97"/>
      <c r="U44" s="94"/>
      <c r="V44" s="97"/>
      <c r="W44" s="97"/>
      <c r="X44" s="97"/>
      <c r="Y44" s="97"/>
      <c r="Z44" s="97"/>
      <c r="AA44" s="97"/>
      <c r="AB44" s="94"/>
      <c r="AC44" s="97"/>
      <c r="AD44" s="97"/>
      <c r="AE44" s="97"/>
      <c r="AF44" s="97"/>
      <c r="AG44" s="97"/>
      <c r="AH44" s="97"/>
      <c r="AI44" s="94"/>
      <c r="AJ44" s="97"/>
      <c r="AK44" s="97"/>
      <c r="AL44" s="97"/>
      <c r="AM44" s="97"/>
      <c r="AN44" s="97"/>
      <c r="AO44" s="97"/>
      <c r="AP44" s="94"/>
      <c r="AQ44" s="97"/>
      <c r="AR44" s="97"/>
      <c r="AS44" s="97"/>
      <c r="AT44" s="97"/>
      <c r="AU44" s="97"/>
      <c r="AV44" s="97"/>
      <c r="AW44" s="94"/>
      <c r="AX44" s="97"/>
      <c r="AY44" s="97"/>
      <c r="AZ44" s="97"/>
      <c r="BA44" s="97"/>
      <c r="BB44" s="97"/>
      <c r="BC44" s="97"/>
      <c r="BD44" s="125"/>
      <c r="BE44" s="135"/>
      <c r="BF44" s="97"/>
      <c r="BG44" s="97"/>
      <c r="BH44" s="97"/>
      <c r="BI44" s="97"/>
      <c r="BJ44" s="97"/>
      <c r="BK44" s="148"/>
      <c r="BL44" s="135">
        <v>3483.1</v>
      </c>
      <c r="BM44" s="97"/>
      <c r="BN44" s="97"/>
      <c r="BO44" s="97"/>
      <c r="BP44" s="97"/>
      <c r="BQ44" s="97"/>
      <c r="BR44" s="168">
        <f t="shared" si="51"/>
        <v>3483.1</v>
      </c>
      <c r="BS44" s="135">
        <v>0</v>
      </c>
      <c r="BT44" s="97"/>
      <c r="BU44" s="97"/>
      <c r="BV44" s="97"/>
      <c r="BW44" s="97"/>
      <c r="BX44" s="97"/>
      <c r="BY44" s="97"/>
      <c r="BZ44" s="98">
        <f t="shared" si="52"/>
        <v>0</v>
      </c>
      <c r="CA44" s="191">
        <v>0</v>
      </c>
      <c r="CB44" s="97"/>
      <c r="CC44" s="97"/>
      <c r="CD44" s="97"/>
      <c r="CE44" s="97"/>
      <c r="CF44" s="97"/>
      <c r="CG44" s="97"/>
      <c r="CH44" s="168">
        <f t="shared" si="49"/>
        <v>0</v>
      </c>
      <c r="CI44" s="135">
        <v>0</v>
      </c>
      <c r="CJ44" s="97"/>
      <c r="CK44" s="97"/>
      <c r="CL44" s="97"/>
      <c r="CM44" s="97"/>
      <c r="CN44" s="97"/>
      <c r="CO44" s="97"/>
      <c r="CP44" s="98">
        <f t="shared" ref="CP44:CP45" si="55">SUM(CI44:CO44)</f>
        <v>0</v>
      </c>
    </row>
    <row r="45" spans="1:94" ht="125.25" customHeight="1">
      <c r="A45" s="18" t="s">
        <v>151</v>
      </c>
      <c r="B45" s="11" t="s">
        <v>150</v>
      </c>
      <c r="C45" s="10" t="s">
        <v>152</v>
      </c>
      <c r="D45" s="155" t="s">
        <v>149</v>
      </c>
      <c r="E45" s="96">
        <f t="shared" si="5"/>
        <v>230963.1</v>
      </c>
      <c r="F45" s="75">
        <f t="shared" si="6"/>
        <v>0</v>
      </c>
      <c r="G45" s="75">
        <f t="shared" si="7"/>
        <v>230963.1</v>
      </c>
      <c r="H45" s="97"/>
      <c r="I45" s="97"/>
      <c r="J45" s="97"/>
      <c r="K45" s="97"/>
      <c r="L45" s="97"/>
      <c r="M45" s="97"/>
      <c r="N45" s="94"/>
      <c r="O45" s="97"/>
      <c r="P45" s="97"/>
      <c r="Q45" s="97"/>
      <c r="R45" s="97"/>
      <c r="S45" s="97"/>
      <c r="T45" s="97"/>
      <c r="U45" s="94"/>
      <c r="V45" s="97"/>
      <c r="W45" s="97"/>
      <c r="X45" s="97"/>
      <c r="Y45" s="97"/>
      <c r="Z45" s="97"/>
      <c r="AA45" s="97"/>
      <c r="AB45" s="94"/>
      <c r="AC45" s="97"/>
      <c r="AD45" s="97"/>
      <c r="AE45" s="97"/>
      <c r="AF45" s="97"/>
      <c r="AG45" s="97"/>
      <c r="AH45" s="97"/>
      <c r="AI45" s="94"/>
      <c r="AJ45" s="97"/>
      <c r="AK45" s="97"/>
      <c r="AL45" s="97"/>
      <c r="AM45" s="97"/>
      <c r="AN45" s="97"/>
      <c r="AO45" s="97"/>
      <c r="AP45" s="94"/>
      <c r="AQ45" s="97"/>
      <c r="AR45" s="97"/>
      <c r="AS45" s="97"/>
      <c r="AT45" s="97"/>
      <c r="AU45" s="97"/>
      <c r="AV45" s="97"/>
      <c r="AW45" s="94"/>
      <c r="AX45" s="97"/>
      <c r="AY45" s="97"/>
      <c r="AZ45" s="97"/>
      <c r="BA45" s="97"/>
      <c r="BB45" s="97"/>
      <c r="BC45" s="97"/>
      <c r="BD45" s="125"/>
      <c r="BE45" s="135"/>
      <c r="BF45" s="97"/>
      <c r="BG45" s="97"/>
      <c r="BH45" s="97"/>
      <c r="BI45" s="97"/>
      <c r="BJ45" s="97"/>
      <c r="BK45" s="148"/>
      <c r="BL45" s="135">
        <v>28332.9</v>
      </c>
      <c r="BM45" s="97"/>
      <c r="BN45" s="97"/>
      <c r="BO45" s="97"/>
      <c r="BP45" s="97">
        <v>28332.9</v>
      </c>
      <c r="BQ45" s="97"/>
      <c r="BR45" s="168">
        <f t="shared" si="51"/>
        <v>56665.8</v>
      </c>
      <c r="BS45" s="135">
        <f>29049.5+0.1</f>
        <v>29049.599999999999</v>
      </c>
      <c r="BT45" s="97"/>
      <c r="BU45" s="97"/>
      <c r="BV45" s="97"/>
      <c r="BW45" s="97"/>
      <c r="BX45" s="97">
        <v>29049.5</v>
      </c>
      <c r="BY45" s="97"/>
      <c r="BZ45" s="98">
        <f t="shared" si="52"/>
        <v>58099.1</v>
      </c>
      <c r="CA45" s="191">
        <v>29049.599999999999</v>
      </c>
      <c r="CB45" s="97"/>
      <c r="CC45" s="97"/>
      <c r="CD45" s="97"/>
      <c r="CE45" s="97"/>
      <c r="CF45" s="97">
        <v>29049.5</v>
      </c>
      <c r="CG45" s="97"/>
      <c r="CH45" s="168">
        <f t="shared" si="49"/>
        <v>58099.1</v>
      </c>
      <c r="CI45" s="135">
        <v>29049.599999999999</v>
      </c>
      <c r="CJ45" s="97"/>
      <c r="CK45" s="97"/>
      <c r="CL45" s="97"/>
      <c r="CM45" s="97"/>
      <c r="CN45" s="97">
        <v>29049.5</v>
      </c>
      <c r="CO45" s="97"/>
      <c r="CP45" s="98">
        <f t="shared" si="55"/>
        <v>58099.1</v>
      </c>
    </row>
    <row r="46" spans="1:94" ht="58.5" hidden="1">
      <c r="A46" s="18" t="s">
        <v>126</v>
      </c>
      <c r="B46" s="11" t="s">
        <v>106</v>
      </c>
      <c r="C46" s="10" t="s">
        <v>89</v>
      </c>
      <c r="D46" s="53" t="s">
        <v>107</v>
      </c>
      <c r="E46" s="75">
        <f t="shared" si="5"/>
        <v>0</v>
      </c>
      <c r="F46" s="75">
        <f t="shared" si="6"/>
        <v>11017.4</v>
      </c>
      <c r="G46" s="75">
        <f t="shared" si="7"/>
        <v>11017.4</v>
      </c>
      <c r="H46" s="57"/>
      <c r="I46" s="57"/>
      <c r="J46" s="57"/>
      <c r="K46" s="57"/>
      <c r="L46" s="57"/>
      <c r="M46" s="57"/>
      <c r="N46" s="58"/>
      <c r="O46" s="57"/>
      <c r="P46" s="57"/>
      <c r="Q46" s="57"/>
      <c r="R46" s="57"/>
      <c r="S46" s="57"/>
      <c r="T46" s="57"/>
      <c r="U46" s="58"/>
      <c r="V46" s="57"/>
      <c r="W46" s="57"/>
      <c r="X46" s="57"/>
      <c r="Y46" s="57"/>
      <c r="Z46" s="57"/>
      <c r="AA46" s="57"/>
      <c r="AB46" s="58"/>
      <c r="AC46" s="57"/>
      <c r="AD46" s="57"/>
      <c r="AE46" s="57"/>
      <c r="AF46" s="57"/>
      <c r="AG46" s="57"/>
      <c r="AH46" s="57"/>
      <c r="AI46" s="58"/>
      <c r="AJ46" s="57"/>
      <c r="AK46" s="57"/>
      <c r="AL46" s="57"/>
      <c r="AM46" s="57"/>
      <c r="AN46" s="57"/>
      <c r="AO46" s="57"/>
      <c r="AP46" s="58"/>
      <c r="AQ46" s="57">
        <v>11017.4</v>
      </c>
      <c r="AR46" s="57"/>
      <c r="AS46" s="57"/>
      <c r="AT46" s="57"/>
      <c r="AU46" s="57"/>
      <c r="AV46" s="57"/>
      <c r="AW46" s="58">
        <f t="shared" si="45"/>
        <v>11017.4</v>
      </c>
      <c r="AX46" s="57"/>
      <c r="AY46" s="57"/>
      <c r="AZ46" s="57"/>
      <c r="BA46" s="57"/>
      <c r="BB46" s="57"/>
      <c r="BC46" s="57"/>
      <c r="BD46" s="126"/>
      <c r="BE46" s="146"/>
      <c r="BF46" s="57"/>
      <c r="BG46" s="62"/>
      <c r="BH46" s="57"/>
      <c r="BI46" s="57"/>
      <c r="BJ46" s="57"/>
      <c r="BK46" s="151">
        <f t="shared" si="47"/>
        <v>0</v>
      </c>
      <c r="BL46" s="146"/>
      <c r="BM46" s="57"/>
      <c r="BN46" s="57"/>
      <c r="BO46" s="57"/>
      <c r="BP46" s="57"/>
      <c r="BQ46" s="57"/>
      <c r="BR46" s="118">
        <f t="shared" ref="BR46" si="56">SUM(BL46:BQ46)</f>
        <v>0</v>
      </c>
      <c r="BS46" s="146"/>
      <c r="BT46" s="57"/>
      <c r="BU46" s="57"/>
      <c r="BV46" s="57"/>
      <c r="BW46" s="57"/>
      <c r="BX46" s="57"/>
      <c r="BY46" s="57"/>
      <c r="BZ46" s="82">
        <f t="shared" si="52"/>
        <v>0</v>
      </c>
      <c r="CA46" s="193"/>
      <c r="CB46" s="70"/>
      <c r="CC46" s="70"/>
      <c r="CD46" s="70"/>
      <c r="CE46" s="70"/>
      <c r="CF46" s="70"/>
      <c r="CG46" s="70"/>
      <c r="CH46" s="118">
        <f t="shared" si="49"/>
        <v>0</v>
      </c>
      <c r="CI46" s="137"/>
      <c r="CJ46" s="70"/>
      <c r="CK46" s="70"/>
      <c r="CL46" s="70"/>
      <c r="CM46" s="70"/>
      <c r="CN46" s="70"/>
      <c r="CO46" s="70"/>
      <c r="CP46" s="82">
        <f t="shared" ref="CP46:CP51" si="57">SUM(CI46:CO46)</f>
        <v>0</v>
      </c>
    </row>
    <row r="47" spans="1:94" s="88" customFormat="1" ht="75" customHeight="1">
      <c r="A47" s="84">
        <v>3</v>
      </c>
      <c r="B47" s="85" t="s">
        <v>138</v>
      </c>
      <c r="C47" s="73" t="s">
        <v>156</v>
      </c>
      <c r="D47" s="86" t="s">
        <v>17</v>
      </c>
      <c r="E47" s="75">
        <f t="shared" si="5"/>
        <v>3335328.3</v>
      </c>
      <c r="F47" s="75">
        <f t="shared" si="6"/>
        <v>5690394.9000000004</v>
      </c>
      <c r="G47" s="75">
        <f t="shared" si="7"/>
        <v>9025723.1999999993</v>
      </c>
      <c r="H47" s="81">
        <f>H48+H49+H50+H51</f>
        <v>134642.4</v>
      </c>
      <c r="I47" s="81">
        <f>I48+I49+I50+I51</f>
        <v>0</v>
      </c>
      <c r="J47" s="81"/>
      <c r="K47" s="81"/>
      <c r="L47" s="81">
        <f>L48+L49+L50+L51</f>
        <v>439064.60000000003</v>
      </c>
      <c r="M47" s="81">
        <f>M48+M49+M50+M51</f>
        <v>8800</v>
      </c>
      <c r="N47" s="81">
        <f>SUM(H47:M47)</f>
        <v>582507</v>
      </c>
      <c r="O47" s="81">
        <f>O48+O49+O50+O51</f>
        <v>164947.79999999999</v>
      </c>
      <c r="P47" s="81">
        <f>P48+P49+P50+P51</f>
        <v>0</v>
      </c>
      <c r="Q47" s="81"/>
      <c r="R47" s="81"/>
      <c r="S47" s="81">
        <f>S48+S49+S50+S51</f>
        <v>460529.9</v>
      </c>
      <c r="T47" s="81">
        <f>T48+T49+T50+T51</f>
        <v>7375</v>
      </c>
      <c r="U47" s="81">
        <f>SUM(O47:T47)</f>
        <v>632852.69999999995</v>
      </c>
      <c r="V47" s="81">
        <f>V48+V49+V50+V51</f>
        <v>325549.59999999998</v>
      </c>
      <c r="W47" s="81">
        <f>W48+W49+W50+W51</f>
        <v>0</v>
      </c>
      <c r="X47" s="81"/>
      <c r="Y47" s="81"/>
      <c r="Z47" s="81">
        <f>Z48+Z49+Z50+Z51</f>
        <v>358947</v>
      </c>
      <c r="AA47" s="81">
        <f>AA48+AA49+AA50+AA51</f>
        <v>7375</v>
      </c>
      <c r="AB47" s="81">
        <f>SUM(V47:AA47)</f>
        <v>691871.6</v>
      </c>
      <c r="AC47" s="81">
        <f>AC48+AC49+AC50+AC51</f>
        <v>577825.5</v>
      </c>
      <c r="AD47" s="81">
        <f t="shared" ref="AD47:AE47" si="58">AD48+AD49+AD50+AD51</f>
        <v>0</v>
      </c>
      <c r="AE47" s="81">
        <f t="shared" si="58"/>
        <v>0</v>
      </c>
      <c r="AF47" s="81">
        <f>AF48+AF49+AF50+AF51</f>
        <v>0</v>
      </c>
      <c r="AG47" s="81">
        <f>AG48+AG49+AG50+AG51</f>
        <v>3678.8</v>
      </c>
      <c r="AH47" s="81">
        <f>AH48+AH49+AH50+AH51</f>
        <v>30742</v>
      </c>
      <c r="AI47" s="81">
        <f>SUM(AC47:AH47)</f>
        <v>612246.30000000005</v>
      </c>
      <c r="AJ47" s="81">
        <f>AJ48+AJ49+AJ50+AJ51</f>
        <v>695180.3</v>
      </c>
      <c r="AK47" s="81"/>
      <c r="AL47" s="81"/>
      <c r="AM47" s="81">
        <f>AM48+AM49+AM50+AM51</f>
        <v>0</v>
      </c>
      <c r="AN47" s="81">
        <f>AN48+AN49+AN50+AN51</f>
        <v>0</v>
      </c>
      <c r="AO47" s="81">
        <f>AO48+AO49+AO50+AO51</f>
        <v>44094.5</v>
      </c>
      <c r="AP47" s="81">
        <f>SUM(AJ47:AO47)</f>
        <v>739274.8</v>
      </c>
      <c r="AQ47" s="81">
        <f>AQ48+AQ49+AQ50+AQ51</f>
        <v>739402.5</v>
      </c>
      <c r="AR47" s="81"/>
      <c r="AS47" s="81"/>
      <c r="AT47" s="81">
        <f>AT48+AT49+AT50+AT51</f>
        <v>0</v>
      </c>
      <c r="AU47" s="81">
        <f>AU48+AU49+AU50+AU51</f>
        <v>0</v>
      </c>
      <c r="AV47" s="81">
        <f>AV48+AV49+AV50+AV51</f>
        <v>44094.5</v>
      </c>
      <c r="AW47" s="81">
        <f t="shared" ref="AW47:AW52" si="59">SUM(AQ47:AV47)</f>
        <v>783497</v>
      </c>
      <c r="AX47" s="81">
        <f>AX48+AX49+AX50+AX51</f>
        <v>797052.5</v>
      </c>
      <c r="AY47" s="81"/>
      <c r="AZ47" s="81"/>
      <c r="BA47" s="81">
        <f>BA48+BA49+BA50+BA51</f>
        <v>0</v>
      </c>
      <c r="BB47" s="81">
        <f>BB48+BB49+BB50+BB51</f>
        <v>0</v>
      </c>
      <c r="BC47" s="81">
        <f>BC48+BC49+BC50+BC51</f>
        <v>8320</v>
      </c>
      <c r="BD47" s="118">
        <f t="shared" ref="BD47" si="60">SUM(AX47:BC47)</f>
        <v>805372.5</v>
      </c>
      <c r="BE47" s="152">
        <f>BE48+BE49+BE50+BE51</f>
        <v>834453</v>
      </c>
      <c r="BF47" s="87"/>
      <c r="BG47" s="81">
        <f>BG48+BG49+BG50+BG51</f>
        <v>0</v>
      </c>
      <c r="BH47" s="87">
        <f>BH48+BH49+BH50+BH51</f>
        <v>0</v>
      </c>
      <c r="BI47" s="87">
        <f>BI48+BI49+BI50+BI51</f>
        <v>0</v>
      </c>
      <c r="BJ47" s="87">
        <f>BJ48+BJ49+BJ50+BJ51</f>
        <v>8320</v>
      </c>
      <c r="BK47" s="151">
        <f t="shared" ref="BK47" si="61">SUM(BE47:BJ47)</f>
        <v>842773</v>
      </c>
      <c r="BL47" s="134">
        <f>BL48+BL49+BL50+BL51</f>
        <v>811308.8</v>
      </c>
      <c r="BM47" s="81"/>
      <c r="BN47" s="81">
        <f>BN48+BN49+BN50+BN51</f>
        <v>0</v>
      </c>
      <c r="BO47" s="81">
        <f>BO48+BO49+BO50+BO51</f>
        <v>0</v>
      </c>
      <c r="BP47" s="81">
        <f>BP48+BP49+BP50+BP51</f>
        <v>0</v>
      </c>
      <c r="BQ47" s="81">
        <f>BQ48+BQ49+BQ50+BQ51</f>
        <v>8320</v>
      </c>
      <c r="BR47" s="118">
        <f>SUM(BL47:BQ47)</f>
        <v>819628.8</v>
      </c>
      <c r="BS47" s="134">
        <f>BS48+BS49+BS50+BS51</f>
        <v>830246.5</v>
      </c>
      <c r="BT47" s="81"/>
      <c r="BU47" s="81"/>
      <c r="BV47" s="81">
        <f>BV48+BV49+BV50+BV51</f>
        <v>0</v>
      </c>
      <c r="BW47" s="81">
        <f>BW48+BW49+BW50+BW51</f>
        <v>0</v>
      </c>
      <c r="BX47" s="81"/>
      <c r="BY47" s="81">
        <f>BY48+BY49+BY50+BY51</f>
        <v>8320</v>
      </c>
      <c r="BZ47" s="82">
        <f>SUM(BS47:BY47)</f>
        <v>838566.5</v>
      </c>
      <c r="CA47" s="190">
        <f>CA48+CA49+CA50+CA51</f>
        <v>830246.5</v>
      </c>
      <c r="CB47" s="81"/>
      <c r="CC47" s="81"/>
      <c r="CD47" s="81">
        <f>CD48+CD49+CD50+CD51</f>
        <v>0</v>
      </c>
      <c r="CE47" s="81">
        <f>CE48+CE49+CE50+CE51</f>
        <v>0</v>
      </c>
      <c r="CF47" s="81"/>
      <c r="CG47" s="81">
        <f>CG48+CG49+CG50+CG51</f>
        <v>8320</v>
      </c>
      <c r="CH47" s="118">
        <f>SUM(CA47:CG47)</f>
        <v>838566.5</v>
      </c>
      <c r="CI47" s="134">
        <f>CI48+CI49+CI50+CI51</f>
        <v>830246.5</v>
      </c>
      <c r="CJ47" s="81"/>
      <c r="CK47" s="81"/>
      <c r="CL47" s="81">
        <f>CL48+CL49+CL50+CL51</f>
        <v>0</v>
      </c>
      <c r="CM47" s="81">
        <f>CM48+CM49+CM50+CM51</f>
        <v>0</v>
      </c>
      <c r="CN47" s="81"/>
      <c r="CO47" s="81">
        <f>CO48+CO49+CO50+CO51</f>
        <v>8320</v>
      </c>
      <c r="CP47" s="82">
        <f t="shared" si="57"/>
        <v>838566.5</v>
      </c>
    </row>
    <row r="48" spans="1:94" s="163" customFormat="1" ht="85.5" customHeight="1">
      <c r="A48" s="156" t="s">
        <v>3</v>
      </c>
      <c r="B48" s="157" t="s">
        <v>72</v>
      </c>
      <c r="C48" s="158" t="s">
        <v>156</v>
      </c>
      <c r="D48" s="159" t="s">
        <v>98</v>
      </c>
      <c r="E48" s="96">
        <f t="shared" si="5"/>
        <v>2489137.1</v>
      </c>
      <c r="F48" s="75">
        <f t="shared" si="6"/>
        <v>3915484.8</v>
      </c>
      <c r="G48" s="75">
        <f t="shared" si="7"/>
        <v>6404621.8999999994</v>
      </c>
      <c r="H48" s="58">
        <v>80869.5</v>
      </c>
      <c r="I48" s="58">
        <v>0</v>
      </c>
      <c r="J48" s="58"/>
      <c r="K48" s="58"/>
      <c r="L48" s="58">
        <v>339164.4</v>
      </c>
      <c r="M48" s="58">
        <v>0</v>
      </c>
      <c r="N48" s="58">
        <f>SUM(H48:M48)</f>
        <v>420033.9</v>
      </c>
      <c r="O48" s="58">
        <v>96136.5</v>
      </c>
      <c r="P48" s="58">
        <v>0</v>
      </c>
      <c r="Q48" s="58"/>
      <c r="R48" s="58"/>
      <c r="S48" s="58">
        <v>361256.2</v>
      </c>
      <c r="T48" s="58">
        <v>0</v>
      </c>
      <c r="U48" s="58">
        <f>SUM(O48:T48)</f>
        <v>457392.7</v>
      </c>
      <c r="V48" s="58">
        <v>153885.6</v>
      </c>
      <c r="W48" s="58">
        <v>0</v>
      </c>
      <c r="X48" s="58"/>
      <c r="Y48" s="58"/>
      <c r="Z48" s="58">
        <v>279450.2</v>
      </c>
      <c r="AA48" s="58">
        <v>0</v>
      </c>
      <c r="AB48" s="58">
        <f>SUM(V48:AA48)</f>
        <v>433335.80000000005</v>
      </c>
      <c r="AC48" s="58">
        <f>422576.9-4327.2-1636.7+19832.9+1286.5</f>
        <v>437732.4</v>
      </c>
      <c r="AD48" s="58">
        <v>0</v>
      </c>
      <c r="AE48" s="58">
        <v>0</v>
      </c>
      <c r="AF48" s="58">
        <v>0</v>
      </c>
      <c r="AG48" s="58">
        <f>0+2158.4+642.9</f>
        <v>2801.3</v>
      </c>
      <c r="AH48" s="58">
        <f>AA48</f>
        <v>0</v>
      </c>
      <c r="AI48" s="58">
        <f>SUM(AC48:AH48)</f>
        <v>440533.7</v>
      </c>
      <c r="AJ48" s="58">
        <v>471588.9</v>
      </c>
      <c r="AK48" s="58"/>
      <c r="AL48" s="58"/>
      <c r="AM48" s="58">
        <v>0</v>
      </c>
      <c r="AN48" s="58">
        <v>0</v>
      </c>
      <c r="AO48" s="58">
        <f>AA48</f>
        <v>0</v>
      </c>
      <c r="AP48" s="58">
        <f>SUM(AJ48:AO48)</f>
        <v>471588.9</v>
      </c>
      <c r="AQ48" s="58">
        <f>515464.8+3974.7</f>
        <v>519439.5</v>
      </c>
      <c r="AR48" s="58"/>
      <c r="AS48" s="58"/>
      <c r="AT48" s="58">
        <v>0</v>
      </c>
      <c r="AU48" s="58">
        <v>0</v>
      </c>
      <c r="AV48" s="58">
        <f>AH48</f>
        <v>0</v>
      </c>
      <c r="AW48" s="58">
        <f t="shared" si="59"/>
        <v>519439.5</v>
      </c>
      <c r="AX48" s="58">
        <v>573995.30000000005</v>
      </c>
      <c r="AY48" s="58"/>
      <c r="AZ48" s="58"/>
      <c r="BA48" s="58">
        <v>0</v>
      </c>
      <c r="BB48" s="58">
        <v>0</v>
      </c>
      <c r="BC48" s="58">
        <v>0</v>
      </c>
      <c r="BD48" s="117">
        <v>573995.30000000005</v>
      </c>
      <c r="BE48" s="160">
        <v>599165</v>
      </c>
      <c r="BF48" s="161"/>
      <c r="BG48" s="161">
        <v>0</v>
      </c>
      <c r="BH48" s="161">
        <v>0</v>
      </c>
      <c r="BI48" s="161">
        <v>0</v>
      </c>
      <c r="BJ48" s="161">
        <f>AV48</f>
        <v>0</v>
      </c>
      <c r="BK48" s="162">
        <f t="shared" ref="BK48:BK51" si="62">BE48+BG48+BJ48</f>
        <v>599165</v>
      </c>
      <c r="BL48" s="160">
        <f>610113.9-914.2</f>
        <v>609199.70000000007</v>
      </c>
      <c r="BM48" s="58"/>
      <c r="BN48" s="58">
        <v>0</v>
      </c>
      <c r="BO48" s="58">
        <v>0</v>
      </c>
      <c r="BP48" s="58"/>
      <c r="BQ48" s="58">
        <v>0</v>
      </c>
      <c r="BR48" s="182">
        <f t="shared" ref="BR48:BR51" si="63">BQ48+BN48+BL48</f>
        <v>609199.70000000007</v>
      </c>
      <c r="BS48" s="160">
        <v>626645.80000000005</v>
      </c>
      <c r="BT48" s="58"/>
      <c r="BU48" s="58"/>
      <c r="BV48" s="58">
        <v>0</v>
      </c>
      <c r="BW48" s="58">
        <v>0</v>
      </c>
      <c r="BX48" s="58"/>
      <c r="BY48" s="58">
        <v>0</v>
      </c>
      <c r="BZ48" s="61">
        <f>SUM(BS48:BY48)</f>
        <v>626645.80000000005</v>
      </c>
      <c r="CA48" s="194">
        <v>626645.80000000005</v>
      </c>
      <c r="CB48" s="58"/>
      <c r="CC48" s="58"/>
      <c r="CD48" s="58">
        <v>0</v>
      </c>
      <c r="CE48" s="58">
        <v>0</v>
      </c>
      <c r="CF48" s="58"/>
      <c r="CG48" s="58">
        <v>0</v>
      </c>
      <c r="CH48" s="116">
        <f t="shared" ref="CH48:CH51" si="64">SUM(CA48:CG48)</f>
        <v>626645.80000000005</v>
      </c>
      <c r="CI48" s="160">
        <v>626645.80000000005</v>
      </c>
      <c r="CJ48" s="58"/>
      <c r="CK48" s="58"/>
      <c r="CL48" s="58">
        <v>0</v>
      </c>
      <c r="CM48" s="58">
        <v>0</v>
      </c>
      <c r="CN48" s="58"/>
      <c r="CO48" s="58">
        <v>0</v>
      </c>
      <c r="CP48" s="61">
        <f t="shared" si="57"/>
        <v>626645.80000000005</v>
      </c>
    </row>
    <row r="49" spans="1:94" s="163" customFormat="1" ht="68.25" customHeight="1">
      <c r="A49" s="164" t="s">
        <v>4</v>
      </c>
      <c r="B49" s="157" t="s">
        <v>14</v>
      </c>
      <c r="C49" s="158" t="s">
        <v>156</v>
      </c>
      <c r="D49" s="159" t="s">
        <v>99</v>
      </c>
      <c r="E49" s="96">
        <f t="shared" si="5"/>
        <v>812911.2</v>
      </c>
      <c r="F49" s="75">
        <f t="shared" si="6"/>
        <v>1212345.6000000001</v>
      </c>
      <c r="G49" s="75">
        <f t="shared" si="7"/>
        <v>2025256.8</v>
      </c>
      <c r="H49" s="58">
        <v>23772.9</v>
      </c>
      <c r="I49" s="58">
        <v>0</v>
      </c>
      <c r="J49" s="58"/>
      <c r="K49" s="58"/>
      <c r="L49" s="58">
        <v>99900.2</v>
      </c>
      <c r="M49" s="58">
        <v>0</v>
      </c>
      <c r="N49" s="58">
        <f>SUM(H49:M49)</f>
        <v>123673.1</v>
      </c>
      <c r="O49" s="58">
        <v>25667.599999999999</v>
      </c>
      <c r="P49" s="58">
        <v>0</v>
      </c>
      <c r="Q49" s="58"/>
      <c r="R49" s="58"/>
      <c r="S49" s="58">
        <v>99273.700000000012</v>
      </c>
      <c r="T49" s="58">
        <v>0</v>
      </c>
      <c r="U49" s="58">
        <f>SUM(O49:T49)</f>
        <v>124941.30000000002</v>
      </c>
      <c r="V49" s="58">
        <v>49592</v>
      </c>
      <c r="W49" s="58">
        <v>0</v>
      </c>
      <c r="X49" s="58"/>
      <c r="Y49" s="58"/>
      <c r="Z49" s="58">
        <v>79496.800000000003</v>
      </c>
      <c r="AA49" s="58">
        <v>0</v>
      </c>
      <c r="AB49" s="58">
        <f>SUM(V49:AA49)</f>
        <v>129088.8</v>
      </c>
      <c r="AC49" s="58">
        <f>133887.2+6205.9</f>
        <v>140093.1</v>
      </c>
      <c r="AD49" s="58">
        <v>0</v>
      </c>
      <c r="AE49" s="58">
        <v>0</v>
      </c>
      <c r="AF49" s="58">
        <v>0</v>
      </c>
      <c r="AG49" s="58">
        <f>0+674.3+203.2</f>
        <v>877.5</v>
      </c>
      <c r="AH49" s="58">
        <f>AA49</f>
        <v>0</v>
      </c>
      <c r="AI49" s="58">
        <f>SUM(AC49:AH49)</f>
        <v>140970.6</v>
      </c>
      <c r="AJ49" s="58">
        <v>148341</v>
      </c>
      <c r="AK49" s="58"/>
      <c r="AL49" s="58"/>
      <c r="AM49" s="58">
        <v>0</v>
      </c>
      <c r="AN49" s="58">
        <v>0</v>
      </c>
      <c r="AO49" s="58">
        <f>AA49</f>
        <v>0</v>
      </c>
      <c r="AP49" s="58">
        <f>SUM(AJ49:AO49)</f>
        <v>148341</v>
      </c>
      <c r="AQ49" s="58">
        <v>168699.1</v>
      </c>
      <c r="AR49" s="58"/>
      <c r="AS49" s="58"/>
      <c r="AT49" s="58">
        <v>0</v>
      </c>
      <c r="AU49" s="58">
        <v>0</v>
      </c>
      <c r="AV49" s="58">
        <f>AH49</f>
        <v>0</v>
      </c>
      <c r="AW49" s="58">
        <f t="shared" si="59"/>
        <v>168699.1</v>
      </c>
      <c r="AX49" s="58">
        <v>186146.1</v>
      </c>
      <c r="AY49" s="58"/>
      <c r="AZ49" s="58"/>
      <c r="BA49" s="58">
        <v>0</v>
      </c>
      <c r="BB49" s="58">
        <v>0</v>
      </c>
      <c r="BC49" s="58">
        <v>0</v>
      </c>
      <c r="BD49" s="117">
        <v>186146.1</v>
      </c>
      <c r="BE49" s="160">
        <v>190485.6</v>
      </c>
      <c r="BF49" s="161"/>
      <c r="BG49" s="161">
        <v>0</v>
      </c>
      <c r="BH49" s="161">
        <v>0</v>
      </c>
      <c r="BI49" s="161">
        <v>0</v>
      </c>
      <c r="BJ49" s="161">
        <f>AV49</f>
        <v>0</v>
      </c>
      <c r="BK49" s="162">
        <f t="shared" si="62"/>
        <v>190485.6</v>
      </c>
      <c r="BL49" s="160">
        <v>202109.1</v>
      </c>
      <c r="BM49" s="58"/>
      <c r="BN49" s="58">
        <v>0</v>
      </c>
      <c r="BO49" s="58">
        <v>0</v>
      </c>
      <c r="BP49" s="58"/>
      <c r="BQ49" s="58">
        <v>0</v>
      </c>
      <c r="BR49" s="182">
        <f t="shared" si="63"/>
        <v>202109.1</v>
      </c>
      <c r="BS49" s="160">
        <v>203600.7</v>
      </c>
      <c r="BT49" s="58"/>
      <c r="BU49" s="58"/>
      <c r="BV49" s="58">
        <v>0</v>
      </c>
      <c r="BW49" s="58">
        <v>0</v>
      </c>
      <c r="BX49" s="58"/>
      <c r="BY49" s="58">
        <v>0</v>
      </c>
      <c r="BZ49" s="61">
        <f t="shared" ref="BZ49:BZ51" si="65">BS49+BW49+BY49</f>
        <v>203600.7</v>
      </c>
      <c r="CA49" s="194">
        <v>203600.7</v>
      </c>
      <c r="CB49" s="58"/>
      <c r="CC49" s="58"/>
      <c r="CD49" s="58">
        <v>0</v>
      </c>
      <c r="CE49" s="58">
        <v>0</v>
      </c>
      <c r="CF49" s="58"/>
      <c r="CG49" s="58">
        <v>0</v>
      </c>
      <c r="CH49" s="116">
        <f t="shared" si="64"/>
        <v>203600.7</v>
      </c>
      <c r="CI49" s="160">
        <v>203600.7</v>
      </c>
      <c r="CJ49" s="58"/>
      <c r="CK49" s="58"/>
      <c r="CL49" s="58">
        <v>0</v>
      </c>
      <c r="CM49" s="58">
        <v>0</v>
      </c>
      <c r="CN49" s="58"/>
      <c r="CO49" s="58">
        <v>0</v>
      </c>
      <c r="CP49" s="61">
        <f t="shared" si="57"/>
        <v>203600.7</v>
      </c>
    </row>
    <row r="50" spans="1:94" ht="68.25" hidden="1" customHeight="1">
      <c r="A50" s="17" t="s">
        <v>22</v>
      </c>
      <c r="B50" s="11" t="s">
        <v>16</v>
      </c>
      <c r="C50" s="21" t="s">
        <v>156</v>
      </c>
      <c r="D50" s="22" t="s">
        <v>18</v>
      </c>
      <c r="E50" s="96">
        <f t="shared" si="5"/>
        <v>0</v>
      </c>
      <c r="F50" s="75">
        <f t="shared" si="6"/>
        <v>403443.5</v>
      </c>
      <c r="G50" s="75">
        <f t="shared" si="7"/>
        <v>403443.5</v>
      </c>
      <c r="H50" s="58">
        <v>30000</v>
      </c>
      <c r="I50" s="58">
        <v>0</v>
      </c>
      <c r="J50" s="58"/>
      <c r="K50" s="58"/>
      <c r="L50" s="58">
        <v>0</v>
      </c>
      <c r="M50" s="58">
        <v>0</v>
      </c>
      <c r="N50" s="58">
        <f>SUM(H50:M50)</f>
        <v>30000</v>
      </c>
      <c r="O50" s="58">
        <v>43143.7</v>
      </c>
      <c r="P50" s="58">
        <v>0</v>
      </c>
      <c r="Q50" s="58"/>
      <c r="R50" s="58"/>
      <c r="S50" s="58">
        <v>0</v>
      </c>
      <c r="T50" s="58">
        <v>0</v>
      </c>
      <c r="U50" s="58">
        <f>SUM(O50:T50)</f>
        <v>43143.7</v>
      </c>
      <c r="V50" s="58">
        <v>122072</v>
      </c>
      <c r="W50" s="58">
        <v>0</v>
      </c>
      <c r="X50" s="58"/>
      <c r="Y50" s="58"/>
      <c r="Z50" s="58">
        <v>0</v>
      </c>
      <c r="AA50" s="58">
        <v>0</v>
      </c>
      <c r="AB50" s="58">
        <f>SUM(V50:AA50)</f>
        <v>122072</v>
      </c>
      <c r="AC50" s="58">
        <v>0</v>
      </c>
      <c r="AD50" s="58">
        <v>0</v>
      </c>
      <c r="AE50" s="58">
        <v>0</v>
      </c>
      <c r="AF50" s="58">
        <v>0</v>
      </c>
      <c r="AG50" s="58">
        <v>0</v>
      </c>
      <c r="AH50" s="58">
        <f>AA50</f>
        <v>0</v>
      </c>
      <c r="AI50" s="58">
        <f>SUM(AC50:AH50)</f>
        <v>0</v>
      </c>
      <c r="AJ50" s="58">
        <v>75250.399999999994</v>
      </c>
      <c r="AK50" s="58"/>
      <c r="AL50" s="58"/>
      <c r="AM50" s="58">
        <v>0</v>
      </c>
      <c r="AN50" s="58">
        <v>0</v>
      </c>
      <c r="AO50" s="58">
        <f>AA50</f>
        <v>0</v>
      </c>
      <c r="AP50" s="58">
        <f>SUM(AJ50:AO50)</f>
        <v>75250.399999999994</v>
      </c>
      <c r="AQ50" s="58">
        <v>51263.899999999994</v>
      </c>
      <c r="AR50" s="58"/>
      <c r="AS50" s="58"/>
      <c r="AT50" s="58">
        <v>0</v>
      </c>
      <c r="AU50" s="58">
        <v>0</v>
      </c>
      <c r="AV50" s="58">
        <f>AH50</f>
        <v>0</v>
      </c>
      <c r="AW50" s="58">
        <f t="shared" si="59"/>
        <v>51263.899999999994</v>
      </c>
      <c r="AX50" s="58">
        <v>36911.1</v>
      </c>
      <c r="AY50" s="58"/>
      <c r="AZ50" s="58"/>
      <c r="BA50" s="58">
        <v>0</v>
      </c>
      <c r="BB50" s="58">
        <v>0</v>
      </c>
      <c r="BC50" s="58">
        <v>0</v>
      </c>
      <c r="BD50" s="117">
        <v>36911.1</v>
      </c>
      <c r="BE50" s="138">
        <v>44802.400000000001</v>
      </c>
      <c r="BF50" s="65"/>
      <c r="BG50" s="65">
        <v>0</v>
      </c>
      <c r="BH50" s="65">
        <v>0</v>
      </c>
      <c r="BI50" s="65">
        <v>0</v>
      </c>
      <c r="BJ50" s="65">
        <f>AV50</f>
        <v>0</v>
      </c>
      <c r="BK50" s="113">
        <f t="shared" si="62"/>
        <v>44802.400000000001</v>
      </c>
      <c r="BL50" s="138">
        <v>0</v>
      </c>
      <c r="BM50" s="94"/>
      <c r="BN50" s="94">
        <v>0</v>
      </c>
      <c r="BO50" s="94">
        <v>0</v>
      </c>
      <c r="BP50" s="94"/>
      <c r="BQ50" s="94">
        <v>0</v>
      </c>
      <c r="BR50" s="183">
        <f t="shared" si="63"/>
        <v>0</v>
      </c>
      <c r="BS50" s="138"/>
      <c r="BT50" s="94"/>
      <c r="BU50" s="94"/>
      <c r="BV50" s="94">
        <v>0</v>
      </c>
      <c r="BW50" s="94">
        <v>0</v>
      </c>
      <c r="BX50" s="94"/>
      <c r="BY50" s="94">
        <v>0</v>
      </c>
      <c r="BZ50" s="98">
        <f t="shared" si="65"/>
        <v>0</v>
      </c>
      <c r="CA50" s="195"/>
      <c r="CB50" s="94"/>
      <c r="CC50" s="94"/>
      <c r="CD50" s="94">
        <v>0</v>
      </c>
      <c r="CE50" s="94">
        <v>0</v>
      </c>
      <c r="CF50" s="94"/>
      <c r="CG50" s="94">
        <v>0</v>
      </c>
      <c r="CH50" s="168">
        <f t="shared" si="64"/>
        <v>0</v>
      </c>
      <c r="CI50" s="138"/>
      <c r="CJ50" s="94"/>
      <c r="CK50" s="94"/>
      <c r="CL50" s="94">
        <v>0</v>
      </c>
      <c r="CM50" s="94">
        <v>0</v>
      </c>
      <c r="CN50" s="94"/>
      <c r="CO50" s="94">
        <v>0</v>
      </c>
      <c r="CP50" s="98">
        <f t="shared" si="57"/>
        <v>0</v>
      </c>
    </row>
    <row r="51" spans="1:94" ht="78.75" customHeight="1">
      <c r="A51" s="17" t="s">
        <v>22</v>
      </c>
      <c r="B51" s="11" t="s">
        <v>15</v>
      </c>
      <c r="C51" s="21" t="s">
        <v>156</v>
      </c>
      <c r="D51" s="53" t="s">
        <v>5</v>
      </c>
      <c r="E51" s="96">
        <f t="shared" si="5"/>
        <v>33280</v>
      </c>
      <c r="F51" s="75">
        <f t="shared" si="6"/>
        <v>159121</v>
      </c>
      <c r="G51" s="75">
        <f t="shared" si="7"/>
        <v>192401</v>
      </c>
      <c r="H51" s="58">
        <v>0</v>
      </c>
      <c r="I51" s="58">
        <v>0</v>
      </c>
      <c r="J51" s="58"/>
      <c r="K51" s="58"/>
      <c r="L51" s="58">
        <v>0</v>
      </c>
      <c r="M51" s="58">
        <v>8800</v>
      </c>
      <c r="N51" s="58">
        <f>SUM(H51:M51)</f>
        <v>8800</v>
      </c>
      <c r="O51" s="58">
        <v>0</v>
      </c>
      <c r="P51" s="58">
        <v>0</v>
      </c>
      <c r="Q51" s="58"/>
      <c r="R51" s="58"/>
      <c r="S51" s="58">
        <v>0</v>
      </c>
      <c r="T51" s="58">
        <v>7375</v>
      </c>
      <c r="U51" s="58">
        <f>SUM(O51:T51)</f>
        <v>7375</v>
      </c>
      <c r="V51" s="58">
        <v>0</v>
      </c>
      <c r="W51" s="58">
        <v>0</v>
      </c>
      <c r="X51" s="58"/>
      <c r="Y51" s="58"/>
      <c r="Z51" s="58">
        <v>0</v>
      </c>
      <c r="AA51" s="58">
        <v>7375</v>
      </c>
      <c r="AB51" s="58">
        <f>SUM(V51:AA51)</f>
        <v>7375</v>
      </c>
      <c r="AC51" s="58">
        <f>V51</f>
        <v>0</v>
      </c>
      <c r="AD51" s="58">
        <v>0</v>
      </c>
      <c r="AE51" s="58">
        <v>0</v>
      </c>
      <c r="AF51" s="58">
        <v>0</v>
      </c>
      <c r="AG51" s="58">
        <f>Z51</f>
        <v>0</v>
      </c>
      <c r="AH51" s="58">
        <v>30742</v>
      </c>
      <c r="AI51" s="58">
        <f>SUM(AC51:AH51)</f>
        <v>30742</v>
      </c>
      <c r="AJ51" s="58">
        <f>V51</f>
        <v>0</v>
      </c>
      <c r="AK51" s="58"/>
      <c r="AL51" s="58"/>
      <c r="AM51" s="58">
        <v>0</v>
      </c>
      <c r="AN51" s="58">
        <f>Z51</f>
        <v>0</v>
      </c>
      <c r="AO51" s="58">
        <v>44094.5</v>
      </c>
      <c r="AP51" s="58">
        <f>SUM(AJ51:AO51)</f>
        <v>44094.5</v>
      </c>
      <c r="AQ51" s="58">
        <f>AC51</f>
        <v>0</v>
      </c>
      <c r="AR51" s="58"/>
      <c r="AS51" s="58"/>
      <c r="AT51" s="58">
        <v>0</v>
      </c>
      <c r="AU51" s="58">
        <f>AG51</f>
        <v>0</v>
      </c>
      <c r="AV51" s="58">
        <v>44094.5</v>
      </c>
      <c r="AW51" s="58">
        <f t="shared" si="59"/>
        <v>44094.5</v>
      </c>
      <c r="AX51" s="58">
        <v>0</v>
      </c>
      <c r="AY51" s="58"/>
      <c r="AZ51" s="58"/>
      <c r="BA51" s="58">
        <v>0</v>
      </c>
      <c r="BB51" s="58">
        <v>0</v>
      </c>
      <c r="BC51" s="58">
        <v>8320</v>
      </c>
      <c r="BD51" s="117">
        <v>8320</v>
      </c>
      <c r="BE51" s="138">
        <f>AC51</f>
        <v>0</v>
      </c>
      <c r="BF51" s="65"/>
      <c r="BG51" s="65">
        <v>0</v>
      </c>
      <c r="BH51" s="65">
        <v>0</v>
      </c>
      <c r="BI51" s="65">
        <f>AU51</f>
        <v>0</v>
      </c>
      <c r="BJ51" s="65">
        <v>8320</v>
      </c>
      <c r="BK51" s="113">
        <f t="shared" si="62"/>
        <v>8320</v>
      </c>
      <c r="BL51" s="138">
        <f>AX51</f>
        <v>0</v>
      </c>
      <c r="BM51" s="94"/>
      <c r="BN51" s="94">
        <v>0</v>
      </c>
      <c r="BO51" s="94">
        <v>0</v>
      </c>
      <c r="BP51" s="94"/>
      <c r="BQ51" s="94">
        <v>8320</v>
      </c>
      <c r="BR51" s="183">
        <f t="shared" si="63"/>
        <v>8320</v>
      </c>
      <c r="BS51" s="138">
        <f>BE51</f>
        <v>0</v>
      </c>
      <c r="BT51" s="94"/>
      <c r="BU51" s="94"/>
      <c r="BV51" s="94">
        <v>0</v>
      </c>
      <c r="BW51" s="94">
        <v>0</v>
      </c>
      <c r="BX51" s="94"/>
      <c r="BY51" s="94">
        <v>8320</v>
      </c>
      <c r="BZ51" s="98">
        <f t="shared" si="65"/>
        <v>8320</v>
      </c>
      <c r="CA51" s="195">
        <f>BL51</f>
        <v>0</v>
      </c>
      <c r="CB51" s="94"/>
      <c r="CC51" s="94"/>
      <c r="CD51" s="94">
        <v>0</v>
      </c>
      <c r="CE51" s="94">
        <v>0</v>
      </c>
      <c r="CF51" s="94"/>
      <c r="CG51" s="94">
        <v>8320</v>
      </c>
      <c r="CH51" s="168">
        <f t="shared" si="64"/>
        <v>8320</v>
      </c>
      <c r="CI51" s="138">
        <f>BS51</f>
        <v>0</v>
      </c>
      <c r="CJ51" s="94"/>
      <c r="CK51" s="94"/>
      <c r="CL51" s="94">
        <v>0</v>
      </c>
      <c r="CM51" s="94">
        <v>0</v>
      </c>
      <c r="CN51" s="94"/>
      <c r="CO51" s="94">
        <v>8320</v>
      </c>
      <c r="CP51" s="98">
        <f t="shared" si="57"/>
        <v>8320</v>
      </c>
    </row>
    <row r="52" spans="1:94" s="93" customFormat="1" ht="172.5" customHeight="1" thickBot="1">
      <c r="A52" s="89">
        <v>4</v>
      </c>
      <c r="B52" s="90" t="s">
        <v>139</v>
      </c>
      <c r="C52" s="73" t="s">
        <v>153</v>
      </c>
      <c r="D52" s="91" t="s">
        <v>109</v>
      </c>
      <c r="E52" s="75">
        <f t="shared" si="5"/>
        <v>22278.7</v>
      </c>
      <c r="F52" s="75">
        <f t="shared" si="6"/>
        <v>19843.3</v>
      </c>
      <c r="G52" s="75">
        <f t="shared" si="7"/>
        <v>42122</v>
      </c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>
        <f>3785.8+24.5</f>
        <v>3810.3</v>
      </c>
      <c r="AR52" s="92"/>
      <c r="AS52" s="92"/>
      <c r="AT52" s="92"/>
      <c r="AU52" s="92"/>
      <c r="AV52" s="92"/>
      <c r="AW52" s="92">
        <f t="shared" si="59"/>
        <v>3810.3</v>
      </c>
      <c r="AX52" s="92">
        <v>8016.5</v>
      </c>
      <c r="AY52" s="92"/>
      <c r="AZ52" s="92"/>
      <c r="BA52" s="92"/>
      <c r="BB52" s="92"/>
      <c r="BC52" s="92"/>
      <c r="BD52" s="119">
        <v>8016.5</v>
      </c>
      <c r="BE52" s="139">
        <f>BD52</f>
        <v>8016.5</v>
      </c>
      <c r="BF52" s="140"/>
      <c r="BG52" s="140"/>
      <c r="BH52" s="140"/>
      <c r="BI52" s="140"/>
      <c r="BJ52" s="140"/>
      <c r="BK52" s="141">
        <f>BE52+BG52+BJ52</f>
        <v>8016.5</v>
      </c>
      <c r="BL52" s="139">
        <v>8984.2000000000007</v>
      </c>
      <c r="BM52" s="140"/>
      <c r="BN52" s="140"/>
      <c r="BO52" s="140"/>
      <c r="BP52" s="140"/>
      <c r="BQ52" s="140"/>
      <c r="BR52" s="171">
        <f>BQ52+BN52+BL52</f>
        <v>8984.2000000000007</v>
      </c>
      <c r="BS52" s="139">
        <v>4431.5</v>
      </c>
      <c r="BT52" s="140"/>
      <c r="BU52" s="140"/>
      <c r="BV52" s="140"/>
      <c r="BW52" s="140"/>
      <c r="BX52" s="140"/>
      <c r="BY52" s="140"/>
      <c r="BZ52" s="141">
        <f>BS52+BW52+BY52</f>
        <v>4431.5</v>
      </c>
      <c r="CA52" s="196">
        <v>4431.5</v>
      </c>
      <c r="CB52" s="140"/>
      <c r="CC52" s="140"/>
      <c r="CD52" s="140"/>
      <c r="CE52" s="140"/>
      <c r="CF52" s="140"/>
      <c r="CG52" s="140"/>
      <c r="CH52" s="171">
        <f>CA52</f>
        <v>4431.5</v>
      </c>
      <c r="CI52" s="134">
        <v>4431.5</v>
      </c>
      <c r="CJ52" s="81"/>
      <c r="CK52" s="81"/>
      <c r="CL52" s="81"/>
      <c r="CM52" s="81"/>
      <c r="CN52" s="81"/>
      <c r="CO52" s="81"/>
      <c r="CP52" s="82">
        <f>CI52</f>
        <v>4431.5</v>
      </c>
    </row>
    <row r="53" spans="1:94" s="12" customFormat="1" ht="33.75" customHeight="1" thickBot="1">
      <c r="A53" s="229" t="s">
        <v>73</v>
      </c>
      <c r="B53" s="230"/>
      <c r="C53" s="230"/>
      <c r="D53" s="230"/>
      <c r="E53" s="63">
        <f>BR53+CP53+BZ53+CH53</f>
        <v>19487473.516000003</v>
      </c>
      <c r="F53" s="63">
        <f t="shared" ref="F53" si="66">AW53+AB53+AI53+AP53+U53+N53</f>
        <v>24349096.800000001</v>
      </c>
      <c r="G53" s="63">
        <f t="shared" ref="G53" si="67">AB53+AI53+AP53+AW53+U53+N53+BD53+BK53+BR53+BZ53</f>
        <v>47101577.307999998</v>
      </c>
      <c r="H53" s="56">
        <f t="shared" ref="H53:AP53" si="68">H47+H34+H31+H12</f>
        <v>785850.5</v>
      </c>
      <c r="I53" s="56">
        <f>I47+I34+I31+I12</f>
        <v>2429593.2999999998</v>
      </c>
      <c r="J53" s="56">
        <f>J47+J34+J31+J12</f>
        <v>1654466.9</v>
      </c>
      <c r="K53" s="56">
        <f>K47+K34+K31+K12</f>
        <v>775126.4</v>
      </c>
      <c r="L53" s="56">
        <f>L47+L34+L31+L12</f>
        <v>439064.60000000003</v>
      </c>
      <c r="M53" s="56">
        <f t="shared" si="68"/>
        <v>8800</v>
      </c>
      <c r="N53" s="56">
        <f t="shared" si="68"/>
        <v>3663308.4</v>
      </c>
      <c r="O53" s="56">
        <f t="shared" si="68"/>
        <v>806870.60000000009</v>
      </c>
      <c r="P53" s="56">
        <f t="shared" si="68"/>
        <v>2087463.6999999997</v>
      </c>
      <c r="Q53" s="56">
        <f t="shared" si="68"/>
        <v>1282811.8999999997</v>
      </c>
      <c r="R53" s="56">
        <f t="shared" si="68"/>
        <v>804651.8</v>
      </c>
      <c r="S53" s="56">
        <f t="shared" si="68"/>
        <v>460529.9</v>
      </c>
      <c r="T53" s="56">
        <f t="shared" si="68"/>
        <v>7375</v>
      </c>
      <c r="U53" s="56">
        <f t="shared" si="68"/>
        <v>3362239.1999999997</v>
      </c>
      <c r="V53" s="56">
        <f t="shared" si="68"/>
        <v>1122141.4000000001</v>
      </c>
      <c r="W53" s="56">
        <f t="shared" si="68"/>
        <v>1814118.6</v>
      </c>
      <c r="X53" s="56">
        <f t="shared" si="68"/>
        <v>978085.39999999991</v>
      </c>
      <c r="Y53" s="56">
        <f t="shared" si="68"/>
        <v>836033.2</v>
      </c>
      <c r="Z53" s="56">
        <f t="shared" si="68"/>
        <v>359775.7</v>
      </c>
      <c r="AA53" s="56">
        <f t="shared" si="68"/>
        <v>7375</v>
      </c>
      <c r="AB53" s="56">
        <f t="shared" si="68"/>
        <v>3303410.7</v>
      </c>
      <c r="AC53" s="56">
        <f t="shared" si="68"/>
        <v>1470820.5</v>
      </c>
      <c r="AD53" s="56">
        <f t="shared" si="68"/>
        <v>1630202</v>
      </c>
      <c r="AE53" s="56">
        <f t="shared" si="68"/>
        <v>761563.5</v>
      </c>
      <c r="AF53" s="56">
        <f t="shared" si="68"/>
        <v>868638.5</v>
      </c>
      <c r="AG53" s="56">
        <f t="shared" si="68"/>
        <v>4341.4000000000005</v>
      </c>
      <c r="AH53" s="56">
        <f t="shared" si="68"/>
        <v>30742</v>
      </c>
      <c r="AI53" s="56">
        <f t="shared" si="68"/>
        <v>3136105.9000000004</v>
      </c>
      <c r="AJ53" s="56">
        <f t="shared" si="68"/>
        <v>2033629.5</v>
      </c>
      <c r="AK53" s="56">
        <f t="shared" si="68"/>
        <v>2634506.1</v>
      </c>
      <c r="AL53" s="56">
        <f t="shared" si="68"/>
        <v>1731122.1</v>
      </c>
      <c r="AM53" s="56">
        <f t="shared" si="68"/>
        <v>903384</v>
      </c>
      <c r="AN53" s="56">
        <f t="shared" si="68"/>
        <v>0</v>
      </c>
      <c r="AO53" s="56">
        <f t="shared" si="68"/>
        <v>44094.5</v>
      </c>
      <c r="AP53" s="56">
        <f t="shared" si="68"/>
        <v>4712230.0999999996</v>
      </c>
      <c r="AQ53" s="56">
        <f>AQ47+AQ34+AQ31+AQ12+AQ52</f>
        <v>2464234.2999999998</v>
      </c>
      <c r="AR53" s="56"/>
      <c r="AS53" s="56">
        <f>AS47+AS34+AS31+AS12</f>
        <v>3663473.7000000007</v>
      </c>
      <c r="AT53" s="56">
        <f>AT47+AT34+AT31+AT12</f>
        <v>0</v>
      </c>
      <c r="AU53" s="56">
        <f>AU47+AU34+AU31+AU12</f>
        <v>0</v>
      </c>
      <c r="AV53" s="56">
        <f>AV47+AV34+AV31+AV12</f>
        <v>44094.5</v>
      </c>
      <c r="AW53" s="56">
        <f>AW47+AW34+AW31+AW12+AW52</f>
        <v>6171802.5000000009</v>
      </c>
      <c r="AX53" s="56">
        <f>AX47+AX34+AX31+AX12+AX52</f>
        <v>2356766.9</v>
      </c>
      <c r="AY53" s="56"/>
      <c r="AZ53" s="56">
        <f>AZ47+AZ34+AZ31+AZ12</f>
        <v>3964975.8</v>
      </c>
      <c r="BA53" s="56">
        <f>BA47+BA34+BA31+BA12</f>
        <v>0</v>
      </c>
      <c r="BB53" s="56">
        <f>BB47+BB34+BB31+BB12</f>
        <v>0</v>
      </c>
      <c r="BC53" s="56">
        <f>BC47+BC34+BC31+BC12</f>
        <v>8320</v>
      </c>
      <c r="BD53" s="56">
        <f>BD47+BD34+BD31+BD12+BD52</f>
        <v>6330062.6999999993</v>
      </c>
      <c r="BE53" s="56">
        <f>BE47+BE34+BE31+BE12+BE52</f>
        <v>2589746.2000000002</v>
      </c>
      <c r="BF53" s="56"/>
      <c r="BG53" s="56">
        <f>BG47+BG34+BG31+BG12</f>
        <v>3897519.7999999993</v>
      </c>
      <c r="BH53" s="56">
        <f>BH47+BH34+BH31+BH12</f>
        <v>0</v>
      </c>
      <c r="BI53" s="56">
        <f>BI47+BI34+BI31+BI12</f>
        <v>0</v>
      </c>
      <c r="BJ53" s="56">
        <f>BJ47+BJ34+BJ31+BJ12</f>
        <v>8320</v>
      </c>
      <c r="BK53" s="56">
        <f>BK47+BK34+BK31+BK12+BK52</f>
        <v>6495586</v>
      </c>
      <c r="BL53" s="56">
        <f>BL47+BL34+BL31+BL12+BL52</f>
        <v>2368699.4040000006</v>
      </c>
      <c r="BM53" s="56"/>
      <c r="BN53" s="56">
        <f>BN47+BN34+BN31+BN12</f>
        <v>3117486</v>
      </c>
      <c r="BO53" s="56"/>
      <c r="BP53" s="56">
        <f>BP47+BP34+BP31+BP12</f>
        <v>28332.9</v>
      </c>
      <c r="BQ53" s="56">
        <f>BQ47+BQ34+BQ31+BQ12</f>
        <v>8320</v>
      </c>
      <c r="BR53" s="56">
        <f t="shared" ref="BR53:CH53" si="69">BR47+BR34+BR31+BR12+BR52</f>
        <v>5522838.3040000005</v>
      </c>
      <c r="BS53" s="199">
        <f t="shared" si="69"/>
        <v>2404146.4040000006</v>
      </c>
      <c r="BT53" s="199">
        <f t="shared" si="69"/>
        <v>0</v>
      </c>
      <c r="BU53" s="199">
        <f t="shared" si="69"/>
        <v>0</v>
      </c>
      <c r="BV53" s="199">
        <f t="shared" si="69"/>
        <v>0</v>
      </c>
      <c r="BW53" s="199">
        <f t="shared" si="69"/>
        <v>1962477.6</v>
      </c>
      <c r="BX53" s="200">
        <f t="shared" si="69"/>
        <v>29049.5</v>
      </c>
      <c r="BY53" s="199">
        <f t="shared" si="69"/>
        <v>8320</v>
      </c>
      <c r="BZ53" s="201">
        <f t="shared" si="69"/>
        <v>4403993.5040000007</v>
      </c>
      <c r="CA53" s="112">
        <f t="shared" si="69"/>
        <v>2730360.804</v>
      </c>
      <c r="CB53" s="112">
        <f t="shared" si="69"/>
        <v>0</v>
      </c>
      <c r="CC53" s="112">
        <f t="shared" si="69"/>
        <v>0</v>
      </c>
      <c r="CD53" s="112">
        <f t="shared" si="69"/>
        <v>0</v>
      </c>
      <c r="CE53" s="112">
        <f t="shared" si="69"/>
        <v>1962479.8</v>
      </c>
      <c r="CF53" s="174">
        <f t="shared" si="69"/>
        <v>29049.5</v>
      </c>
      <c r="CG53" s="112">
        <f t="shared" si="69"/>
        <v>8320</v>
      </c>
      <c r="CH53" s="172">
        <f t="shared" si="69"/>
        <v>4730210.1040000003</v>
      </c>
      <c r="CI53" s="173">
        <f t="shared" ref="CI53:CO53" si="70">CI47+CI34+CI31+CI12+CI52</f>
        <v>2830582.304</v>
      </c>
      <c r="CJ53" s="174">
        <f t="shared" si="70"/>
        <v>0</v>
      </c>
      <c r="CK53" s="174">
        <f t="shared" si="70"/>
        <v>0</v>
      </c>
      <c r="CL53" s="174">
        <f t="shared" si="70"/>
        <v>0</v>
      </c>
      <c r="CM53" s="174">
        <f>CM47+CM34+CM12+CM52</f>
        <v>1962479.8</v>
      </c>
      <c r="CN53" s="174">
        <f t="shared" si="70"/>
        <v>29049.5</v>
      </c>
      <c r="CO53" s="174">
        <f t="shared" si="70"/>
        <v>8320</v>
      </c>
      <c r="CP53" s="175">
        <f>CP47+CP34+CP31+CP12+CP52</f>
        <v>4830431.6040000003</v>
      </c>
    </row>
    <row r="54" spans="1:94" ht="15.75" customHeight="1">
      <c r="E54" s="30"/>
      <c r="F54" s="30">
        <f>SUM(F52,F47,F34,F31,F12)</f>
        <v>37174745.5</v>
      </c>
      <c r="G54" s="30">
        <f>SUM(G52,G47,G34,G31,G12)</f>
        <v>56662219.015999995</v>
      </c>
      <c r="H54" s="54">
        <f>H53+O53+V53+AC53+AJ53+AQ53+AX53+BE53+BL53+BS53+CA53+CI53</f>
        <v>23963848.816000007</v>
      </c>
      <c r="I54" s="54">
        <f>I53+P53+W53+AD53+AK53+AS53+AY53+BG53+BN53+BW53+AZ53+CE53+CM53</f>
        <v>31126776.200000003</v>
      </c>
      <c r="J54" s="4"/>
      <c r="K54" s="4"/>
      <c r="L54" s="54">
        <f>L53+S53+Z53+AG53+AN53+AU53+BB53+BI53+CN53+CF53+BX53+BP53</f>
        <v>1379192.9999999998</v>
      </c>
      <c r="M54" s="54">
        <f>M53+T53+AA53+AH53+AO53+AV53+BC53+BJ53+BQ53+BY53+CG53+CO53</f>
        <v>192401</v>
      </c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</row>
    <row r="55" spans="1:94">
      <c r="F55" s="4" t="b">
        <f>F54=H68</f>
        <v>1</v>
      </c>
      <c r="G55" s="4" t="b">
        <f>G54=H61</f>
        <v>1</v>
      </c>
      <c r="H55" s="4" t="b">
        <f>H54=H57</f>
        <v>1</v>
      </c>
      <c r="I55" s="4" t="b">
        <f>H58=I54</f>
        <v>1</v>
      </c>
      <c r="J55" s="4"/>
      <c r="K55" s="4"/>
      <c r="L55" s="4" t="b">
        <f>L54=H59</f>
        <v>1</v>
      </c>
      <c r="M55" s="4" t="b">
        <f>M54=H60</f>
        <v>1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</row>
    <row r="56" spans="1:94">
      <c r="K56" s="39" t="s">
        <v>143</v>
      </c>
    </row>
    <row r="57" spans="1:94">
      <c r="G57" s="40" t="s">
        <v>0</v>
      </c>
      <c r="H57" s="41">
        <f>H53+O53+V53+AC53+AJ53+AQ53+AX53+BE53+BL53+BS53+CA53+CI53</f>
        <v>23963848.816000007</v>
      </c>
      <c r="I57" s="38"/>
      <c r="J57" s="153" t="s">
        <v>0</v>
      </c>
      <c r="K57" s="154">
        <v>17562123.065000001</v>
      </c>
      <c r="M57" s="38">
        <f>K57-H57</f>
        <v>-6401725.7510000058</v>
      </c>
    </row>
    <row r="58" spans="1:94">
      <c r="E58" s="19"/>
      <c r="F58" s="42"/>
      <c r="G58" s="40" t="s">
        <v>111</v>
      </c>
      <c r="H58" s="41">
        <f>I53+P53+W53+AD53+AK53+AS53+AZ53+BG53+BN53+BW53+CE53+CM53</f>
        <v>31126776.200000003</v>
      </c>
      <c r="I58" s="38"/>
      <c r="J58" s="153" t="s">
        <v>111</v>
      </c>
      <c r="K58" s="154">
        <v>30828727.5</v>
      </c>
      <c r="M58" s="38">
        <f>K58-H58</f>
        <v>-298048.70000000298</v>
      </c>
      <c r="AJ58" s="43"/>
    </row>
    <row r="59" spans="1:94">
      <c r="G59" s="40" t="s">
        <v>8</v>
      </c>
      <c r="H59" s="41">
        <f>L53+S53+Z53+AG53+AN53+AU53+BB53+BI53+CN53+CF53+BX53+BP53</f>
        <v>1379192.9999999998</v>
      </c>
      <c r="I59" s="38"/>
      <c r="J59" s="153" t="s">
        <v>8</v>
      </c>
      <c r="K59" s="154">
        <v>1263711.5999999999</v>
      </c>
      <c r="M59" s="38">
        <f>K59-H59</f>
        <v>-115481.39999999991</v>
      </c>
    </row>
    <row r="60" spans="1:94">
      <c r="E60" s="19"/>
      <c r="F60" s="42"/>
      <c r="G60" s="40" t="s">
        <v>112</v>
      </c>
      <c r="H60" s="41">
        <f>M53+T53+AA53+AH53+AO53+AV53+BC53+BJ53+BQ53+BY53+CG53+CO53</f>
        <v>192401</v>
      </c>
      <c r="I60" s="38"/>
      <c r="J60" s="153" t="s">
        <v>112</v>
      </c>
      <c r="K60" s="154">
        <v>184081</v>
      </c>
    </row>
    <row r="61" spans="1:94">
      <c r="G61" s="40" t="s">
        <v>49</v>
      </c>
      <c r="H61" s="41">
        <f>N53+U53+AB53+AI53+AP53+AW53+BD53+BK53+BR53+BZ53+CH53+CP53</f>
        <v>56662219.016000003</v>
      </c>
      <c r="I61" s="38"/>
      <c r="J61" s="153" t="s">
        <v>49</v>
      </c>
      <c r="K61" s="154">
        <v>49838643.164999999</v>
      </c>
      <c r="M61" s="38">
        <f>K61-H61</f>
        <v>-6823575.8510000035</v>
      </c>
    </row>
    <row r="62" spans="1:94">
      <c r="BE62" s="4"/>
    </row>
    <row r="63" spans="1:94">
      <c r="G63" s="37"/>
      <c r="H63" s="39" t="s">
        <v>171</v>
      </c>
      <c r="J63" s="38"/>
      <c r="K63" s="38"/>
      <c r="L63" s="38"/>
      <c r="M63" s="38"/>
      <c r="BE63" s="4"/>
    </row>
    <row r="64" spans="1:94">
      <c r="G64" s="40" t="s">
        <v>0</v>
      </c>
      <c r="H64" s="41">
        <f>H53+O53+V53+AC53+AJ53+AQ53+AX53+BE53</f>
        <v>13630059.900000002</v>
      </c>
      <c r="I64" s="39" t="b">
        <f>H64+H71=H57</f>
        <v>1</v>
      </c>
      <c r="J64" s="38"/>
    </row>
    <row r="65" spans="7:9">
      <c r="G65" s="40" t="s">
        <v>111</v>
      </c>
      <c r="H65" s="41">
        <f>I53+P53+W53+AD53+AK53+AS53+AZ53+BG53</f>
        <v>22121853</v>
      </c>
      <c r="I65" s="39" t="b">
        <f t="shared" ref="I65:I67" si="71">H65+H72=H58</f>
        <v>1</v>
      </c>
    </row>
    <row r="66" spans="7:9">
      <c r="G66" s="40" t="s">
        <v>8</v>
      </c>
      <c r="H66" s="41">
        <f>L53+S53+Z53+AG53+AN53+AT53</f>
        <v>1263711.5999999999</v>
      </c>
      <c r="I66" s="39" t="b">
        <f>H66+H73=H59</f>
        <v>1</v>
      </c>
    </row>
    <row r="67" spans="7:9">
      <c r="G67" s="40" t="s">
        <v>112</v>
      </c>
      <c r="H67" s="41">
        <f>M53+T53+AA53+AH53+AO53+AV53+BC53+BJ53</f>
        <v>159121</v>
      </c>
      <c r="I67" s="39" t="b">
        <f t="shared" si="71"/>
        <v>1</v>
      </c>
    </row>
    <row r="68" spans="7:9">
      <c r="G68" s="40" t="s">
        <v>49</v>
      </c>
      <c r="H68" s="41">
        <f>N53+U53+AB53+AI53+AP53+AW53+BD53+BK53</f>
        <v>37174745.5</v>
      </c>
      <c r="I68" s="39" t="b">
        <f>H68+H75=H61</f>
        <v>1</v>
      </c>
    </row>
    <row r="70" spans="7:9">
      <c r="H70" s="39" t="s">
        <v>144</v>
      </c>
    </row>
    <row r="71" spans="7:9">
      <c r="G71" s="40" t="s">
        <v>0</v>
      </c>
      <c r="H71" s="44">
        <f>CA53+BL53+BS53+CI53</f>
        <v>10333788.916000001</v>
      </c>
    </row>
    <row r="72" spans="7:9">
      <c r="G72" s="40" t="s">
        <v>111</v>
      </c>
      <c r="H72" s="41">
        <f>CE53+BN53+BW53+CM53</f>
        <v>9004923.2000000011</v>
      </c>
    </row>
    <row r="73" spans="7:9">
      <c r="G73" s="40" t="s">
        <v>8</v>
      </c>
      <c r="H73" s="41">
        <f>BP53+CF53+CN53+BX53</f>
        <v>115481.4</v>
      </c>
    </row>
    <row r="74" spans="7:9">
      <c r="G74" s="40" t="s">
        <v>112</v>
      </c>
      <c r="H74" s="41">
        <f>CG53+CO53+BQ53+BY53</f>
        <v>33280</v>
      </c>
    </row>
    <row r="75" spans="7:9">
      <c r="G75" s="40" t="s">
        <v>49</v>
      </c>
      <c r="H75" s="41">
        <f>CH53+CP53+BR53+BZ53</f>
        <v>19487473.516000003</v>
      </c>
    </row>
  </sheetData>
  <mergeCells count="105">
    <mergeCell ref="CO8:CO10"/>
    <mergeCell ref="CP8:CP9"/>
    <mergeCell ref="CI1:CP1"/>
    <mergeCell ref="CI2:CP2"/>
    <mergeCell ref="CI3:CP3"/>
    <mergeCell ref="CI6:CP6"/>
    <mergeCell ref="CI7:CP7"/>
    <mergeCell ref="BE8:BE10"/>
    <mergeCell ref="BI8:BI10"/>
    <mergeCell ref="BJ8:BJ10"/>
    <mergeCell ref="BK8:BK9"/>
    <mergeCell ref="BL7:BR7"/>
    <mergeCell ref="CA3:CH3"/>
    <mergeCell ref="CA2:CH2"/>
    <mergeCell ref="CA1:CH1"/>
    <mergeCell ref="BS6:BZ6"/>
    <mergeCell ref="BS7:BZ7"/>
    <mergeCell ref="A4:CH4"/>
    <mergeCell ref="CA6:CH6"/>
    <mergeCell ref="CA7:CH7"/>
    <mergeCell ref="BE6:BK6"/>
    <mergeCell ref="BE7:BK7"/>
    <mergeCell ref="AQ6:AW6"/>
    <mergeCell ref="AX6:BD6"/>
    <mergeCell ref="A53:D53"/>
    <mergeCell ref="AJ6:AP6"/>
    <mergeCell ref="V7:AB7"/>
    <mergeCell ref="AC7:AI7"/>
    <mergeCell ref="AJ7:AP7"/>
    <mergeCell ref="W8:Y8"/>
    <mergeCell ref="C6:C10"/>
    <mergeCell ref="D6:D8"/>
    <mergeCell ref="G6:G9"/>
    <mergeCell ref="V6:AB6"/>
    <mergeCell ref="AC6:AI6"/>
    <mergeCell ref="E6:E9"/>
    <mergeCell ref="AJ8:AJ10"/>
    <mergeCell ref="A6:A10"/>
    <mergeCell ref="B6:B10"/>
    <mergeCell ref="AO8:AO10"/>
    <mergeCell ref="D9:D10"/>
    <mergeCell ref="AH8:AH10"/>
    <mergeCell ref="AK8:AM8"/>
    <mergeCell ref="AM9:AM10"/>
    <mergeCell ref="AL9:AL10"/>
    <mergeCell ref="AD8:AF8"/>
    <mergeCell ref="AG8:AG10"/>
    <mergeCell ref="H7:N7"/>
    <mergeCell ref="AQ7:AW7"/>
    <mergeCell ref="AN8:AN10"/>
    <mergeCell ref="Z8:Z10"/>
    <mergeCell ref="AA8:AA10"/>
    <mergeCell ref="AB8:AB9"/>
    <mergeCell ref="AI8:AI9"/>
    <mergeCell ref="AC8:AC10"/>
    <mergeCell ref="BL6:BR6"/>
    <mergeCell ref="BP8:BP10"/>
    <mergeCell ref="BQ8:BQ10"/>
    <mergeCell ref="BR8:BR9"/>
    <mergeCell ref="AX8:AX10"/>
    <mergeCell ref="BB8:BB10"/>
    <mergeCell ref="BC8:BC10"/>
    <mergeCell ref="BD8:BD9"/>
    <mergeCell ref="BG8:BG10"/>
    <mergeCell ref="AZ8:AZ10"/>
    <mergeCell ref="F6:F9"/>
    <mergeCell ref="O6:U6"/>
    <mergeCell ref="H6:N6"/>
    <mergeCell ref="AQ8:AQ10"/>
    <mergeCell ref="AU8:AU10"/>
    <mergeCell ref="AS8:AS10"/>
    <mergeCell ref="BL8:BL10"/>
    <mergeCell ref="BN8:BN10"/>
    <mergeCell ref="AX7:BD7"/>
    <mergeCell ref="H8:H10"/>
    <mergeCell ref="I8:K8"/>
    <mergeCell ref="L8:L10"/>
    <mergeCell ref="M8:M10"/>
    <mergeCell ref="N8:N9"/>
    <mergeCell ref="AV8:AV10"/>
    <mergeCell ref="AW8:AW9"/>
    <mergeCell ref="AP8:AP9"/>
    <mergeCell ref="V8:V10"/>
    <mergeCell ref="O8:O10"/>
    <mergeCell ref="P8:R8"/>
    <mergeCell ref="S8:S10"/>
    <mergeCell ref="T8:T10"/>
    <mergeCell ref="U8:U9"/>
    <mergeCell ref="O7:U7"/>
    <mergeCell ref="BS8:BS10"/>
    <mergeCell ref="BU8:BU10"/>
    <mergeCell ref="BW8:BW10"/>
    <mergeCell ref="BY8:BY10"/>
    <mergeCell ref="BZ8:BZ9"/>
    <mergeCell ref="CF8:CF10"/>
    <mergeCell ref="CN8:CN10"/>
    <mergeCell ref="BX8:BX10"/>
    <mergeCell ref="CH8:CH9"/>
    <mergeCell ref="CA8:CA10"/>
    <mergeCell ref="CC8:CC10"/>
    <mergeCell ref="CE8:CE10"/>
    <mergeCell ref="CG8:CG10"/>
    <mergeCell ref="CI8:CI10"/>
    <mergeCell ref="CK8:CK10"/>
    <mergeCell ref="CM8:CM10"/>
  </mergeCells>
  <printOptions horizontalCentered="1"/>
  <pageMargins left="0" right="0" top="0.39370078740157483" bottom="0" header="0.31496062992125984" footer="0.31496062992125984"/>
  <pageSetup paperSize="8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прил.6 </vt:lpstr>
      <vt:lpstr>'прил.6 '!Заголовки_для_печати</vt:lpstr>
      <vt:lpstr>'прил.6 '!Область_печати</vt:lpstr>
    </vt:vector>
  </TitlesOfParts>
  <Company>НПОПАТ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Великоцкая</dc:creator>
  <cp:lastModifiedBy>Клявлин Виктор Рушатович</cp:lastModifiedBy>
  <cp:lastPrinted>2024-11-09T15:40:01Z</cp:lastPrinted>
  <dcterms:created xsi:type="dcterms:W3CDTF">2005-04-22T01:58:34Z</dcterms:created>
  <dcterms:modified xsi:type="dcterms:W3CDTF">2025-11-14T03:40:31Z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0x010100AE48085520489E40AE3EF295D1857196</vt:lpwstr>
  </property>
</Properties>
</file>